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kum_unhcr_org/Documents/Desktop/POs/Drainage systems in Mahama/"/>
    </mc:Choice>
  </mc:AlternateContent>
  <xr:revisionPtr revIDLastSave="334" documentId="8_{E9D71FB6-F104-44AE-A0D7-5C94C16B3229}" xr6:coauthVersionLast="47" xr6:coauthVersionMax="47" xr10:uidLastSave="{DE080CB8-F225-4CB5-A58D-8B08F0EB0D16}"/>
  <bookViews>
    <workbookView xWindow="-110" yWindow="-110" windowWidth="19420" windowHeight="11500" xr2:uid="{BDA4B51C-B726-4EB9-9358-F05965FE1FE3}"/>
  </bookViews>
  <sheets>
    <sheet name="Mahama Drainage_All"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7" i="1" l="1"/>
  <c r="D56" i="1"/>
  <c r="D55" i="1"/>
  <c r="D54" i="1"/>
  <c r="D53" i="1"/>
  <c r="D52" i="1"/>
  <c r="D51" i="1"/>
  <c r="B168" i="1"/>
  <c r="B175" i="1"/>
  <c r="B174" i="1"/>
  <c r="B173" i="1"/>
  <c r="B172" i="1"/>
  <c r="B171" i="1"/>
  <c r="B170" i="1"/>
  <c r="B169" i="1"/>
  <c r="D158" i="1"/>
  <c r="F158" i="1" s="1"/>
  <c r="D157" i="1"/>
  <c r="F157" i="1" s="1"/>
  <c r="D156" i="1"/>
  <c r="F156" i="1" s="1"/>
  <c r="D155" i="1"/>
  <c r="F155" i="1" s="1"/>
  <c r="D154" i="1"/>
  <c r="F154" i="1" s="1"/>
  <c r="D153" i="1"/>
  <c r="F153" i="1" s="1"/>
  <c r="D152" i="1"/>
  <c r="F152" i="1" s="1"/>
  <c r="D151" i="1"/>
  <c r="F151" i="1" s="1"/>
  <c r="D150" i="1"/>
  <c r="F150" i="1" s="1"/>
  <c r="D138" i="1"/>
  <c r="F138" i="1" s="1"/>
  <c r="D137" i="1"/>
  <c r="F137" i="1" s="1"/>
  <c r="D136" i="1"/>
  <c r="F136" i="1" s="1"/>
  <c r="D142" i="1"/>
  <c r="F142" i="1" s="1"/>
  <c r="D141" i="1"/>
  <c r="F141" i="1" s="1"/>
  <c r="D140" i="1"/>
  <c r="F140" i="1" s="1"/>
  <c r="D139" i="1"/>
  <c r="F139" i="1" s="1"/>
  <c r="F145" i="1"/>
  <c r="D144" i="1"/>
  <c r="F144" i="1" s="1"/>
  <c r="D143" i="1"/>
  <c r="F143" i="1" s="1"/>
  <c r="D104" i="1"/>
  <c r="F104" i="1" s="1"/>
  <c r="D103" i="1"/>
  <c r="F103" i="1" s="1"/>
  <c r="D102" i="1"/>
  <c r="F102" i="1" s="1"/>
  <c r="D101" i="1"/>
  <c r="F101" i="1" s="1"/>
  <c r="D100" i="1"/>
  <c r="F100" i="1" s="1"/>
  <c r="D99" i="1"/>
  <c r="F99" i="1" s="1"/>
  <c r="D98" i="1"/>
  <c r="F98" i="1" s="1"/>
  <c r="D97" i="1"/>
  <c r="F97" i="1" s="1"/>
  <c r="F159" i="1"/>
  <c r="D131" i="1"/>
  <c r="F131" i="1" s="1"/>
  <c r="D130" i="1"/>
  <c r="F130" i="1" s="1"/>
  <c r="D129" i="1"/>
  <c r="F129" i="1" s="1"/>
  <c r="D128" i="1"/>
  <c r="F128" i="1" s="1"/>
  <c r="D127" i="1"/>
  <c r="F127" i="1" s="1"/>
  <c r="D126" i="1"/>
  <c r="F126" i="1" s="1"/>
  <c r="D125" i="1"/>
  <c r="F125" i="1" s="1"/>
  <c r="D124" i="1"/>
  <c r="F124" i="1" s="1"/>
  <c r="D123" i="1"/>
  <c r="F123" i="1" s="1"/>
  <c r="F118" i="1"/>
  <c r="D117" i="1"/>
  <c r="F117" i="1" s="1"/>
  <c r="D116" i="1"/>
  <c r="F116" i="1" s="1"/>
  <c r="D115" i="1"/>
  <c r="F115" i="1" s="1"/>
  <c r="D114" i="1"/>
  <c r="F114" i="1" s="1"/>
  <c r="D113" i="1"/>
  <c r="F113" i="1" s="1"/>
  <c r="D112" i="1"/>
  <c r="F112" i="1" s="1"/>
  <c r="D111" i="1"/>
  <c r="F111" i="1" s="1"/>
  <c r="D110" i="1"/>
  <c r="F110" i="1" s="1"/>
  <c r="D109" i="1"/>
  <c r="F109" i="1" s="1"/>
  <c r="F91" i="1"/>
  <c r="D90" i="1"/>
  <c r="F90" i="1" s="1"/>
  <c r="D89" i="1"/>
  <c r="F89" i="1" s="1"/>
  <c r="D88" i="1"/>
  <c r="F88" i="1" s="1"/>
  <c r="D87" i="1"/>
  <c r="F87" i="1" s="1"/>
  <c r="D86" i="1"/>
  <c r="F86" i="1" s="1"/>
  <c r="D85" i="1"/>
  <c r="F85" i="1" s="1"/>
  <c r="D84" i="1"/>
  <c r="F84" i="1" s="1"/>
  <c r="D83" i="1"/>
  <c r="F83" i="1" s="1"/>
  <c r="D82" i="1"/>
  <c r="D92" i="1" s="1"/>
  <c r="F92" i="1" s="1"/>
  <c r="D77" i="1"/>
  <c r="F77" i="1" s="1"/>
  <c r="D76" i="1"/>
  <c r="F76" i="1" s="1"/>
  <c r="D75" i="1"/>
  <c r="F75" i="1" s="1"/>
  <c r="D74" i="1"/>
  <c r="F74" i="1" s="1"/>
  <c r="D73" i="1"/>
  <c r="F73" i="1" s="1"/>
  <c r="D72" i="1"/>
  <c r="F72" i="1" s="1"/>
  <c r="D71" i="1"/>
  <c r="F71" i="1" s="1"/>
  <c r="D70" i="1"/>
  <c r="F70" i="1" s="1"/>
  <c r="F6" i="1"/>
  <c r="F7" i="1" s="1"/>
  <c r="F163" i="1" s="1"/>
  <c r="F146" i="1" l="1"/>
  <c r="F160" i="1"/>
  <c r="F175" i="1" s="1"/>
  <c r="F105" i="1"/>
  <c r="F171" i="1" s="1"/>
  <c r="F132" i="1"/>
  <c r="F173" i="1" s="1"/>
  <c r="F78" i="1"/>
  <c r="F169" i="1" s="1"/>
  <c r="F119" i="1"/>
  <c r="F172" i="1" s="1"/>
  <c r="F82" i="1"/>
  <c r="F93" i="1" s="1"/>
  <c r="F170" i="1" s="1"/>
  <c r="B167" i="1"/>
  <c r="B166" i="1"/>
  <c r="B165" i="1"/>
  <c r="B164" i="1"/>
  <c r="D65" i="1"/>
  <c r="F65" i="1" s="1"/>
  <c r="F64" i="1"/>
  <c r="F60" i="1"/>
  <c r="D59" i="1"/>
  <c r="F59" i="1" s="1"/>
  <c r="D58" i="1"/>
  <c r="F58" i="1" s="1"/>
  <c r="F57" i="1"/>
  <c r="F56" i="1"/>
  <c r="F55" i="1"/>
  <c r="F54" i="1"/>
  <c r="F53" i="1"/>
  <c r="F52" i="1"/>
  <c r="F51" i="1"/>
  <c r="F46" i="1"/>
  <c r="D45" i="1"/>
  <c r="F45" i="1" s="1"/>
  <c r="D44" i="1"/>
  <c r="F44" i="1" s="1"/>
  <c r="D43" i="1"/>
  <c r="F43" i="1" s="1"/>
  <c r="D42" i="1"/>
  <c r="F42" i="1" s="1"/>
  <c r="D41" i="1"/>
  <c r="F41" i="1" s="1"/>
  <c r="D40" i="1"/>
  <c r="F40" i="1" s="1"/>
  <c r="D39" i="1"/>
  <c r="F39" i="1" s="1"/>
  <c r="D38" i="1"/>
  <c r="F38" i="1" s="1"/>
  <c r="F33" i="1"/>
  <c r="D32" i="1"/>
  <c r="F32" i="1" s="1"/>
  <c r="D31" i="1"/>
  <c r="F31" i="1" s="1"/>
  <c r="D30" i="1"/>
  <c r="F30" i="1" s="1"/>
  <c r="D29" i="1"/>
  <c r="F29" i="1" s="1"/>
  <c r="D28" i="1"/>
  <c r="F28" i="1" s="1"/>
  <c r="D27" i="1"/>
  <c r="F27" i="1" s="1"/>
  <c r="D26" i="1"/>
  <c r="F26" i="1" s="1"/>
  <c r="D25" i="1"/>
  <c r="F25" i="1" s="1"/>
  <c r="D24" i="1"/>
  <c r="F24" i="1" s="1"/>
  <c r="D19" i="1"/>
  <c r="F19" i="1" s="1"/>
  <c r="D18" i="1"/>
  <c r="F18" i="1" s="1"/>
  <c r="D17" i="1"/>
  <c r="F17" i="1" s="1"/>
  <c r="D16" i="1"/>
  <c r="F16" i="1" s="1"/>
  <c r="D15" i="1"/>
  <c r="F15" i="1" s="1"/>
  <c r="D14" i="1"/>
  <c r="F14" i="1" s="1"/>
  <c r="D13" i="1"/>
  <c r="F13" i="1" s="1"/>
  <c r="D12" i="1"/>
  <c r="F12" i="1" s="1"/>
  <c r="D11" i="1"/>
  <c r="F11" i="1" s="1"/>
  <c r="F174" i="1" l="1"/>
  <c r="F66" i="1"/>
  <c r="F168" i="1" s="1"/>
  <c r="F61" i="1"/>
  <c r="F167" i="1" s="1"/>
  <c r="F20" i="1"/>
  <c r="F164" i="1" s="1"/>
  <c r="F47" i="1"/>
  <c r="F166" i="1" s="1"/>
  <c r="F34" i="1"/>
  <c r="F165" i="1" s="1"/>
  <c r="F176" i="1" l="1"/>
</calcChain>
</file>

<file path=xl/sharedStrings.xml><?xml version="1.0" encoding="utf-8"?>
<sst xmlns="http://schemas.openxmlformats.org/spreadsheetml/2006/main" count="354" uniqueCount="111">
  <si>
    <t>Section: (390m) OF DRAINAGE IN VILLAGE 05 FROM DEPARTURE CENTRE ALONG THE ROAD TO THE RIVER</t>
  </si>
  <si>
    <t>S/N</t>
  </si>
  <si>
    <t>Item description</t>
  </si>
  <si>
    <t>Unit</t>
  </si>
  <si>
    <t>Quantity</t>
  </si>
  <si>
    <t>Unit Price</t>
  </si>
  <si>
    <t>Total Price (Rwf),
VAT exclusive</t>
  </si>
  <si>
    <t>390m long Section of masonry with 50cm depth, 40cm of wall thickness, 60cm and 40cm top and bottom widths respectively</t>
  </si>
  <si>
    <t>Earthworks for excavation of drainage trenches (referring to the road level and adjacent facilities) with minimum 60cm deep and 140cm width, including backfilling with manual compaction along the drainage and surplus soil evacuation at completion of the works</t>
  </si>
  <si>
    <r>
      <t>m</t>
    </r>
    <r>
      <rPr>
        <vertAlign val="superscript"/>
        <sz val="11"/>
        <color theme="1"/>
        <rFont val="Calibri"/>
        <family val="2"/>
        <scheme val="minor"/>
      </rPr>
      <t>3</t>
    </r>
  </si>
  <si>
    <t>Blinding concrete layer with 5cm thick, cement-sand-gravel mix ratio by volume proportions of 1:2:4</t>
  </si>
  <si>
    <r>
      <t>m</t>
    </r>
    <r>
      <rPr>
        <vertAlign val="superscript"/>
        <sz val="11"/>
        <color theme="1"/>
        <rFont val="Calibri"/>
        <family val="2"/>
        <scheme val="minor"/>
      </rPr>
      <t>2</t>
    </r>
  </si>
  <si>
    <t>Stones elevation masonry of drainage wall, 40cm wall thickness, joined with cement mortar of 1:4 mix ratio by volume (M-300)</t>
  </si>
  <si>
    <t>Well compacted crushed stone hardcore parking at the bottom of the channel, 10cm thickness</t>
  </si>
  <si>
    <t>Mass concrete layer for drainage bed slopes of 1:2:4 mixing ratio by volume and 50mm thickness</t>
  </si>
  <si>
    <t>Smooth pointing of stoneworks face, with cement mortar</t>
  </si>
  <si>
    <t>m2</t>
  </si>
  <si>
    <t>Cement sand smooth screeding on top of both sides of stone works, mix ratio of 1:4 batching by volume</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</si>
  <si>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(2 locations)</t>
  </si>
  <si>
    <t>Precasted reinforced cement concrete (RCC) slabs as bridges crossing drainage for vehicles and pedestrians with 15cm thickness, 150cm long and double layer steel bars reinforcement of Y12@150mm (T-B). The concrete mix ratio of 1:2:4 batching by volume. 4 road crossing locations to be 6.0m wide minimum</t>
  </si>
  <si>
    <t>Sub-Total 6</t>
  </si>
  <si>
    <t>II</t>
  </si>
  <si>
    <t>Section: (220m) IN V02C02-V03C27 CONNECTING TO EXISTING DRAINAGE</t>
  </si>
  <si>
    <t>220m long section of masonry with 40cm depth, 40cm of wall thickness, 50cm and 40cm top and bottom widths respectively</t>
  </si>
  <si>
    <t>Earthworks for excavation of drainage trenches with minimum 50cm deep and 130cm width, including backfilling/compaction and leveling along the drainage channel and surplus soil evacuation at completion of the works</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</si>
  <si>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(6 locations)</t>
  </si>
  <si>
    <t>Precasted reinforced cement concrete (RCC) slabs as bridges crossing drainage for vehicles and pedestrians with 15cm thickness, 150cm long and double layer steel bars reinforcement of Y12@150mm (T-B). The concrete mix ratio of 1:2:4 batching by volume. 3 road crossing locations to be 6.0m wide minimum</t>
  </si>
  <si>
    <t>Construction of stone masonry manhole to intercept the sediments at the junction of drainage channels, including finishing works. Size #1.0x1.0x0.8m</t>
  </si>
  <si>
    <t>III</t>
  </si>
  <si>
    <t>Section: (150m) IN V01C18-C13 FROM MAIN ROAD CONNECTING TO EXISTING DRAINAGE AT MARKET 1</t>
  </si>
  <si>
    <t>150m long section of masonry with 40cm depth, 40cm of wall thickness, 50cm and 40cm top and bottom widths respectively</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</si>
  <si>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(5 locations)</t>
  </si>
  <si>
    <t>IV</t>
  </si>
  <si>
    <t>Precasted reinforced cement concrete (RCC) slabs as bridges crossing drainage for vehicles and pedestrians with 15cm thickness, 150cm long and double layer steel bars reinforcement of Y12@150mm (T-B). The concrete mix ratio of 1:2:4 batching by volume. 2 road crossing locations to be 6.5m wide minimum</t>
  </si>
  <si>
    <t>800m ENVIRONMENTAL RESTORATION &amp; BACKFILLING OF A SMALL GULLY ALONG THE ROAD FROM CAMP ENTRANCE TO VILLAGE 04</t>
  </si>
  <si>
    <t>Supply and construction of gabion as protection block with hexagonal boxes galvanized steel wiremesh of 3.0mm diameter packed with crushed stone works. Gabion box size # 2x1x1m will be used at downstream of gully and the cost to include all works for garbions, the site preparation and excavation works.</t>
  </si>
  <si>
    <t>m3</t>
  </si>
  <si>
    <t>Construction of earthwork checkdams with living hedges across drainage ditch to reduce the velocity of flow and retain sediments. The checkdam to be of 3 meters along the gully constructed with soil backfilling in between up to the level of existing road (min. 0.8m deep) and with planted hedges of Euphorbia tirucalli (imiyenzi) and bamboos. The earthwork checkdams must be at every 25 meters distance and reinforced with timber poles with fabric materials on sides as protection from easy washing away by surface runoff. The works to be done as per instructions and approval by Supervising Engineer</t>
  </si>
  <si>
    <t>No.</t>
  </si>
  <si>
    <t>COST WITHOUT VAT (FRW)</t>
  </si>
  <si>
    <t>LS</t>
  </si>
  <si>
    <t>Sub-Total 1</t>
  </si>
  <si>
    <t>Sub-Total 2</t>
  </si>
  <si>
    <t>Sub-Total 3</t>
  </si>
  <si>
    <t>Sub-Total 4</t>
  </si>
  <si>
    <t>V</t>
  </si>
  <si>
    <t>Sub-Total 5</t>
  </si>
  <si>
    <t>VI</t>
  </si>
  <si>
    <t>Section: (180m) FROM VILLAGE 16-V17 CONNECTING TO EXISTING DRAINAGE NEAR THE MOSQUE</t>
  </si>
  <si>
    <t>180m long Upstrean section of masonry with 40cm depth, 40cm of wall thickness, 50cm and 40cm top and bottom widths respectively</t>
  </si>
  <si>
    <t>Earthworks for excavation of drainage trenches with minimum 50cm deep and 130cm width, including backfilling with manual compaction along the drainage and surplus soil evacuation at completion of the works</t>
  </si>
  <si>
    <t>Section: (220m) BETWEEN VILLAGE 17 &amp; V18 FROM EXISTING DRAINAGE AT THE MOSQUE</t>
  </si>
  <si>
    <t>220m long Section of masonry with 50cm depth, 40cm of wall thickness, 60cm and 40cm top and bottom widths respectively</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</si>
  <si>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(4 locations)</t>
  </si>
  <si>
    <t>Precasted reinforced cement concrete (RCC) slabs as bridges crossing drainage for vehicles and pedestrians with 15cm thickness, 150cm long and double layer steel bars reinforcement of Y12@150mm (T-B). Each access to be of 6.0m wide. The concrete mix ratio of 1:2:4 batching by volume (3 road crossing locations)</t>
  </si>
  <si>
    <t>Restoration/ backfilling of eroded areas around/ along the drainage channel, and shelter communities through soil backfilling with excavated materials and applying and manual compaction, the works to include the installation of crosslines of sandbags at every 40 meters distance to protect from easy washing away by surface runoff.</t>
  </si>
  <si>
    <t>Section: (170m) BETWEEN VILLAGE 08 AND V17, ALONG THE ACCESS ROAD</t>
  </si>
  <si>
    <t>170m long Section of masonry with 50cm depth, 40cm of wall thickness, 60cm and 40cm top and bottom widths respectively</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</si>
  <si>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(3 locations)</t>
  </si>
  <si>
    <t>Precasted reinforced cement concrete (RCC) slabs as bridges crossing drainage for vehicles and pedestrians with 15cm thickness, 150cm long and double layer steel bars reinforcement of Y12@150mm (T-B). The concrete mix ratio of 1:2:4 batching by volume. 4 road crossing locations with each access to be of 6.0m wide minimum</t>
  </si>
  <si>
    <t>Section: (160m) BETWEEN VILLAGE 05 AND THE MARKETPLACE, UPPERSIDE OF THE ACCESS ROAD</t>
  </si>
  <si>
    <t>160m long section of masonry with 40cm depth, 40cm of wall thickness, 50cm and 40cm top and bottom widths respectively</t>
  </si>
  <si>
    <t>Precasted reinforced cement concrete (RCC) slabs as bridges crossing drainage for vehicles and pedestrians with 15cm thickness, 150cm long and double layer steel bars reinforcement of Y12@150mm (T-B). The concrete mix ratio of 1:2:4 batching by volume. 2 road crossing locations to be 6.0m wide minimum</t>
  </si>
  <si>
    <t>Sub-Total 7</t>
  </si>
  <si>
    <t>Sub-Total 8</t>
  </si>
  <si>
    <t>Sub-Total 9</t>
  </si>
  <si>
    <t>X</t>
  </si>
  <si>
    <t>Sub-Total 10</t>
  </si>
  <si>
    <t>Section: (340m) OF DRAINAGE BELOW VILLAGE 18 AS DELIMITATION BETWEEN SHELTERS &amp; FARMLAND</t>
  </si>
  <si>
    <t>VII</t>
  </si>
  <si>
    <t>VIII</t>
  </si>
  <si>
    <t>IX</t>
  </si>
  <si>
    <t>XI</t>
  </si>
  <si>
    <t>Sub-Total 11</t>
  </si>
  <si>
    <t>XII</t>
  </si>
  <si>
    <t>Fixing the precasted reinforced cement concrete (RCC) slabs as bridge crossing drainage for pedestrian, with 10cm thickness, 170cm long and single layer steel bars reinforcement of Y12@150mm (Bottom). Each access to be of 1.0m wide. The concrete mix ratio of 1:2:4 batching by volume. (10 locations)</t>
  </si>
  <si>
    <t>Precasted reinforced cement concrete (RCC) slabs as bridges crossing drainage for vehicles and pedestrians with 15cm thickness, 170cm long and double layer steel bars reinforcement of Y12@150mm (T-B). The concrete mix ratio of 1:2:4 batching by volume. 5 road crossing locations to be 6.0m wide minimum.</t>
  </si>
  <si>
    <t>Sub-Total 12</t>
  </si>
  <si>
    <t>Section: (720m) OF DRAINAGE IN NEW EXTENSION OF VILLAGE 16 &amp; V17 TOWARDS LOW LANDS</t>
  </si>
  <si>
    <t>720m long Section of masonry with 80cm depth, 40cm of wall thickness, 90cm and 70cm top and bottom widths respectively</t>
  </si>
  <si>
    <t>Construction of stone masonry manhole to intercept the sediments at the junction of drainage channels, including cement finishing works. Size #1.2x1.2x1.0m</t>
  </si>
  <si>
    <t>470m long Section of masonry with 60cm depth, 40cm of wall thickness, 60cm and 50cm top and bottom widths respectively</t>
  </si>
  <si>
    <t>Section: (470m) IN VILLAGE 18 AT AREA OF EXTENSION AND BELOW GRAVEYARD</t>
  </si>
  <si>
    <t>Fixing the precasted reinforced cement concrete (RCC) slabs as bridge crossing drainage for pedestrian, with 10cm thickness, 140cm long and single layer steel bars reinforcement of Y12@150mm (Bottom). Each access to be of 1.0m wide. The concrete mix ratio of 1:2:4 batching by volume. (8 locations)</t>
  </si>
  <si>
    <t>Sub-Total 13</t>
  </si>
  <si>
    <t>340m long Section of masonry with 60cm depth, 40cm of wall thickness, 60cm and 50cm top and bottom widths respectively</t>
  </si>
  <si>
    <t>Site Installation, mobilization and cleanning at completion of works</t>
  </si>
  <si>
    <t>Section: (190m) IN VILLAGE 11C33 AT GAZ DISTRIBUTION UP TO DRAINAGE AT CTC FACILITIES</t>
  </si>
  <si>
    <t>190m long section of masonry with 40cm depth, 40cm of wall thickness, 50cm and 40cm top and bottom widths respectively</t>
  </si>
  <si>
    <t>SUMMARY OF THE DRAINAGE WORKS IN MAHAMA CAMP (4,010 meters)</t>
  </si>
  <si>
    <t>8,10</t>
  </si>
  <si>
    <t>8,11</t>
  </si>
  <si>
    <t>Earthworks for excavation of drainage trenches (referring to the road level and adjacent facilities and infrastructure) with minimum 70cm deep and 140cm width, including backfilling with manual compaction along the drainage and surplus soil evacuation at completion of the works. The cost to include the uprooting the tree stems where necessary (This should be avoided for enviroment protection, if the space allows)</t>
  </si>
  <si>
    <t>Earthworks for excavation of drainage trenches (referring to the level of adjacent facilities) with minimum 90cm deep and 170cm width, including backfilling with manual compaction along the drainage and surplus soil evacuation at completion of the works. The cost to include the uprooting the tree stems where necessary (This should be avoided for enviroment protection, if the space allows).</t>
  </si>
  <si>
    <t>Earthworks for excavation of drainage trenches with minimum 50cm deep and 130cm width, including backfilling with manual compaction along the drainage and surplus soil evacuation at completion of the works.</t>
  </si>
  <si>
    <t>Earthworks for excavation of drainage trenches (referring to the road level and adjacent facilities) with minimum 60cm deep and 140cm width, including backfilling with manual compaction along the drainage and surplus soil evacuation at completion of the works.</t>
  </si>
  <si>
    <t>Earthworks for excavation of drainage trenches (referring to the road level and adjacent facilities and infrastructure) with minimum 70cm deep and 140cm width, including backfilling with manual compaction along the drainage and surplus soil evacuation at completion of the works.  The cost to include the uprooting the tree stems where necessary (This should be avoided for enviroment protection, if the space allows).</t>
  </si>
  <si>
    <t>ANNEX C - BILL OF QUANTITIES AND FINANCIAL OFFER FORM</t>
  </si>
  <si>
    <t>ITEM</t>
  </si>
  <si>
    <t>DESCRIPTION</t>
  </si>
  <si>
    <t>UNIT</t>
  </si>
  <si>
    <t>QTY</t>
  </si>
  <si>
    <t>Unit Price (RWF) without VAT</t>
  </si>
  <si>
    <t>Total Amount (RWF) without VAT</t>
  </si>
  <si>
    <t>HCR/RWAKI/SUP/2024/RFP071</t>
  </si>
  <si>
    <r>
      <t xml:space="preserve">CONSTRUCTION OF DRAINAGE SYSTEMS IN MAHAMA REFUGEE CAMP
</t>
    </r>
    <r>
      <rPr>
        <b/>
        <sz val="12"/>
        <color rgb="FF0070C0"/>
        <rFont val="Arial"/>
        <family val="2"/>
      </rPr>
      <t xml:space="preserve">Submit your filled, stamped and signed PDF version of your financial to :RWAKIFINANCIAL@UNHCR.ORG
Also attach the excel copy </t>
    </r>
  </si>
  <si>
    <t>DATE</t>
  </si>
  <si>
    <t>COMPANY NAME AND CONTACT</t>
  </si>
  <si>
    <t>SIGNATURE AND STAMP</t>
  </si>
  <si>
    <t xml:space="preserve">TOTAL AMOUNT (RWF) WITHOUT VAT </t>
  </si>
  <si>
    <t>ANY DISCOUNTS IF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</si>
</sst>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 #,##0_-;_-* &quot;-&quot;_-;_-@_-"/>
    <numFmt numFmtId="165" formatCode="_-* #,##0.00_-;\-* #,##0.00_-;_-* &quot;-&quot;??_-;_-@_-"/>
    <numFmt numFmtId="166" formatCode="_-* #,##0_-;\-* #,##0_-;_-* &quot;-&quot;??_-;_-@_-"/>
    <numFmt numFmtId="167" formatCode="0.0"/>
    <numFmt numFmtId="168" formatCode="_-* #,##0.0_-;\-* #,##0.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vertAlign val="superscript"/>
      <sz val="11"/>
      <color theme="1"/>
      <name val="Calibri"/>
      <family val="2"/>
      <scheme val="minor"/>
    </font>
    <font>
      <b/>
      <sz val="12"/>
      <color theme="1"/>
      <name val="Calibri"/>
      <family val="2"/>
      <scheme val="minor"/>
    </font>
    <font>
      <sz val="12"/>
      <color theme="1"/>
      <name val="Calibri"/>
      <family val="2"/>
      <scheme val="minor"/>
    </font>
    <font>
      <sz val="11"/>
      <color theme="1"/>
      <name val="Candara"/>
      <family val="2"/>
    </font>
    <font>
      <b/>
      <sz val="14"/>
      <color theme="1"/>
      <name val="Candara"/>
      <family val="2"/>
    </font>
    <font>
      <sz val="8"/>
      <name val="Calibri"/>
      <family val="2"/>
      <scheme val="minor"/>
    </font>
    <font>
      <b/>
      <sz val="12"/>
      <name val="Arial"/>
      <family val="2"/>
    </font>
    <font>
      <sz val="12"/>
      <color rgb="FF000000"/>
      <name val="Calibri"/>
      <family val="2"/>
      <charset val="1"/>
    </font>
    <font>
      <b/>
      <sz val="12"/>
      <color rgb="FF0070C0"/>
      <name val="Arial"/>
      <family val="2"/>
    </font>
    <font>
      <b/>
      <sz val="12"/>
      <color rgb="FF000000"/>
      <name val="Calibri"/>
      <family val="2"/>
      <charset val="1"/>
    </font>
    <font>
      <sz val="10"/>
      <name val="Calibri"/>
      <family val="2"/>
      <charset val="1"/>
    </font>
    <font>
      <b/>
      <sz val="12"/>
      <name val="Calibri"/>
      <family val="2"/>
      <charset val="1"/>
    </font>
    <font>
      <b/>
      <sz val="16"/>
      <color rgb="FF000000"/>
      <name val="Calibri"/>
      <family val="2"/>
    </font>
    <font>
      <b/>
      <sz val="16"/>
      <color rgb="FF000000"/>
      <name val="Calibri"/>
      <family val="2"/>
      <scheme val="minor"/>
    </font>
    <font>
      <sz val="12"/>
      <color rgb="FF00000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9"/>
        <bgColor indexed="64"/>
      </patternFill>
    </fill>
  </fills>
  <borders count="27">
    <border>
      <left/>
      <right/>
      <top/>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14" fillId="0" borderId="0"/>
  </cellStyleXfs>
  <cellXfs count="81">
    <xf numFmtId="0" fontId="0" fillId="0" borderId="0" xfId="0"/>
    <xf numFmtId="0" fontId="2" fillId="0" borderId="2" xfId="0" applyFont="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vertical="center" wrapText="1"/>
    </xf>
    <xf numFmtId="0" fontId="0" fillId="0" borderId="12" xfId="0" applyBorder="1" applyAlignment="1">
      <alignment horizontal="center" vertical="center"/>
    </xf>
    <xf numFmtId="0" fontId="0" fillId="0" borderId="12" xfId="0" applyBorder="1" applyAlignment="1">
      <alignment horizontal="right" vertical="center"/>
    </xf>
    <xf numFmtId="166" fontId="0" fillId="0" borderId="12" xfId="1" applyNumberFormat="1" applyFont="1" applyBorder="1" applyAlignment="1">
      <alignment vertical="center"/>
    </xf>
    <xf numFmtId="166" fontId="0" fillId="0" borderId="13" xfId="1" applyNumberFormat="1" applyFont="1" applyBorder="1" applyAlignment="1">
      <alignment vertical="center"/>
    </xf>
    <xf numFmtId="2" fontId="0" fillId="0" borderId="12" xfId="0" applyNumberFormat="1" applyBorder="1" applyAlignment="1">
      <alignment horizontal="right" vertical="center"/>
    </xf>
    <xf numFmtId="167" fontId="0" fillId="0" borderId="12" xfId="0" applyNumberFormat="1" applyBorder="1" applyAlignment="1">
      <alignment horizontal="right" vertical="center"/>
    </xf>
    <xf numFmtId="166" fontId="5" fillId="0" borderId="17" xfId="1" applyNumberFormat="1" applyFont="1" applyBorder="1" applyAlignment="1">
      <alignment horizontal="center" vertical="center"/>
    </xf>
    <xf numFmtId="166" fontId="0" fillId="0" borderId="12" xfId="1" applyNumberFormat="1" applyFont="1" applyFill="1" applyBorder="1" applyAlignment="1">
      <alignment vertical="center"/>
    </xf>
    <xf numFmtId="166" fontId="0" fillId="0" borderId="13" xfId="1" applyNumberFormat="1" applyFont="1" applyFill="1" applyBorder="1" applyAlignment="1">
      <alignment vertical="center"/>
    </xf>
    <xf numFmtId="0" fontId="6" fillId="0" borderId="0" xfId="0" applyFont="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center"/>
    </xf>
    <xf numFmtId="0" fontId="7" fillId="0" borderId="0" xfId="0" applyFont="1"/>
    <xf numFmtId="0" fontId="7" fillId="0" borderId="0" xfId="0" applyFont="1" applyAlignment="1">
      <alignment horizontal="center" vertical="center" wrapText="1"/>
    </xf>
    <xf numFmtId="0" fontId="0" fillId="0" borderId="12" xfId="0" applyBorder="1" applyAlignment="1">
      <alignment wrapText="1"/>
    </xf>
    <xf numFmtId="0" fontId="8" fillId="0" borderId="0" xfId="0" applyFont="1" applyAlignment="1">
      <alignment horizontal="center" vertical="center"/>
    </xf>
    <xf numFmtId="2" fontId="0" fillId="0" borderId="11" xfId="0" applyNumberFormat="1" applyBorder="1" applyAlignment="1">
      <alignment horizontal="center" vertical="center"/>
    </xf>
    <xf numFmtId="167" fontId="0" fillId="0" borderId="11" xfId="0" applyNumberFormat="1" applyBorder="1" applyAlignment="1">
      <alignment horizontal="center" vertical="center"/>
    </xf>
    <xf numFmtId="168" fontId="0" fillId="0" borderId="12" xfId="2" applyNumberFormat="1" applyFont="1" applyBorder="1" applyAlignment="1">
      <alignment horizontal="right" vertical="center"/>
    </xf>
    <xf numFmtId="0" fontId="5" fillId="3" borderId="20" xfId="0" applyFont="1" applyFill="1" applyBorder="1" applyAlignment="1">
      <alignment vertical="center"/>
    </xf>
    <xf numFmtId="0" fontId="5" fillId="3" borderId="23" xfId="0" applyFont="1" applyFill="1" applyBorder="1" applyAlignment="1">
      <alignment vertical="center" wrapText="1"/>
    </xf>
    <xf numFmtId="0" fontId="0" fillId="0" borderId="11" xfId="0" applyFont="1" applyBorder="1" applyAlignment="1">
      <alignment vertical="center"/>
    </xf>
    <xf numFmtId="166" fontId="0" fillId="0" borderId="13" xfId="0" applyNumberFormat="1" applyFont="1" applyBorder="1" applyAlignment="1">
      <alignment vertical="center" wrapTex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3" borderId="2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10" fillId="0" borderId="20"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3" xfId="0" applyFont="1" applyBorder="1" applyAlignment="1">
      <alignment horizontal="center" vertical="center" wrapText="1"/>
    </xf>
    <xf numFmtId="0" fontId="11" fillId="0" borderId="0" xfId="0" applyFont="1"/>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3" fillId="4" borderId="11" xfId="0" applyFont="1" applyFill="1" applyBorder="1" applyAlignment="1">
      <alignment horizontal="center" vertical="center"/>
    </xf>
    <xf numFmtId="0" fontId="15" fillId="4" borderId="12" xfId="3" applyFont="1" applyFill="1" applyBorder="1" applyAlignment="1">
      <alignment horizontal="center" vertical="center"/>
    </xf>
    <xf numFmtId="4" fontId="15" fillId="4" borderId="12" xfId="3" applyNumberFormat="1" applyFont="1" applyFill="1" applyBorder="1" applyAlignment="1">
      <alignment horizontal="center" vertical="center"/>
    </xf>
    <xf numFmtId="4" fontId="15" fillId="4" borderId="12" xfId="3" applyNumberFormat="1" applyFont="1" applyFill="1" applyBorder="1" applyAlignment="1">
      <alignment horizontal="center" vertical="center" wrapText="1"/>
    </xf>
    <xf numFmtId="4" fontId="15" fillId="4" borderId="13" xfId="3" applyNumberFormat="1" applyFont="1" applyFill="1" applyBorder="1" applyAlignment="1">
      <alignment horizontal="center" vertical="center" wrapText="1"/>
    </xf>
    <xf numFmtId="0" fontId="0" fillId="0" borderId="18" xfId="0" applyFont="1" applyBorder="1" applyAlignment="1">
      <alignment horizontal="left" vertical="center" wrapText="1"/>
    </xf>
    <xf numFmtId="0" fontId="0" fillId="0" borderId="9" xfId="0" applyFont="1" applyBorder="1" applyAlignment="1">
      <alignment horizontal="left" vertical="center" wrapText="1"/>
    </xf>
    <xf numFmtId="0" fontId="0" fillId="0" borderId="19" xfId="0" applyFont="1" applyBorder="1" applyAlignment="1">
      <alignment horizontal="left" vertical="center" wrapText="1"/>
    </xf>
    <xf numFmtId="0" fontId="16" fillId="3" borderId="8"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9" xfId="0" applyFont="1" applyFill="1" applyBorder="1" applyAlignment="1">
      <alignment horizontal="center" vertical="center"/>
    </xf>
    <xf numFmtId="3" fontId="16" fillId="3" borderId="13" xfId="0" applyNumberFormat="1" applyFont="1" applyFill="1" applyBorder="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wrapText="1"/>
    </xf>
    <xf numFmtId="4" fontId="17" fillId="0" borderId="12" xfId="0" applyNumberFormat="1" applyFont="1" applyBorder="1" applyAlignment="1">
      <alignment horizontal="center" vertical="center"/>
    </xf>
    <xf numFmtId="4" fontId="17" fillId="0" borderId="13" xfId="0" applyNumberFormat="1" applyFont="1" applyBorder="1" applyAlignment="1">
      <alignment horizontal="center" vertical="center"/>
    </xf>
    <xf numFmtId="0" fontId="18" fillId="0" borderId="24" xfId="0" applyFont="1" applyBorder="1" applyAlignment="1">
      <alignment horizontal="center" vertical="center"/>
    </xf>
    <xf numFmtId="0" fontId="18" fillId="0" borderId="25" xfId="0" applyFont="1" applyBorder="1" applyAlignment="1">
      <alignment horizontal="center" vertical="top" wrapText="1"/>
    </xf>
    <xf numFmtId="4" fontId="18" fillId="0" borderId="25" xfId="0" applyNumberFormat="1" applyFont="1" applyBorder="1" applyAlignment="1">
      <alignment horizontal="center" vertical="center"/>
    </xf>
    <xf numFmtId="4" fontId="18" fillId="0" borderId="17" xfId="0" applyNumberFormat="1" applyFont="1" applyBorder="1" applyAlignment="1">
      <alignment horizontal="center" vertical="center"/>
    </xf>
  </cellXfs>
  <cellStyles count="4">
    <cellStyle name="Comma" xfId="1" builtinId="3"/>
    <cellStyle name="Comma [0]" xfId="2" builtinId="6"/>
    <cellStyle name="Normal" xfId="0" builtinId="0"/>
    <cellStyle name="TableStyleLight1" xfId="3" xr:uid="{8BC17D87-1559-424E-9AC8-062989C0AC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96825-E03C-43F1-AE3D-E514C375A5A3}">
  <dimension ref="A1:F179"/>
  <sheetViews>
    <sheetView tabSelected="1" topLeftCell="A168" zoomScaleNormal="100" workbookViewId="0">
      <selection activeCell="B179" sqref="B179:D179"/>
    </sheetView>
  </sheetViews>
  <sheetFormatPr defaultRowHeight="14.5" x14ac:dyDescent="0.35"/>
  <cols>
    <col min="1" max="1" width="9.36328125" customWidth="1"/>
    <col min="2" max="2" width="76.26953125" customWidth="1"/>
    <col min="3" max="3" width="6.1796875" customWidth="1"/>
    <col min="4" max="4" width="8.54296875" bestFit="1" customWidth="1"/>
    <col min="5" max="5" width="13.7265625" customWidth="1"/>
    <col min="6" max="6" width="17.36328125" bestFit="1" customWidth="1"/>
  </cols>
  <sheetData>
    <row r="1" spans="1:6" ht="15" thickBot="1" x14ac:dyDescent="0.4"/>
    <row r="2" spans="1:6" s="57" customFormat="1" ht="31.5" customHeight="1" x14ac:dyDescent="0.35">
      <c r="A2" s="54" t="s">
        <v>97</v>
      </c>
      <c r="B2" s="55"/>
      <c r="C2" s="55"/>
      <c r="D2" s="55"/>
      <c r="E2" s="55"/>
      <c r="F2" s="56"/>
    </row>
    <row r="3" spans="1:6" s="57" customFormat="1" ht="30.75" customHeight="1" x14ac:dyDescent="0.35">
      <c r="A3" s="58" t="s">
        <v>104</v>
      </c>
      <c r="B3" s="59"/>
      <c r="C3" s="59"/>
      <c r="D3" s="59"/>
      <c r="E3" s="59"/>
      <c r="F3" s="60"/>
    </row>
    <row r="4" spans="1:6" s="57" customFormat="1" ht="89.25" customHeight="1" x14ac:dyDescent="0.35">
      <c r="A4" s="58" t="s">
        <v>105</v>
      </c>
      <c r="B4" s="59"/>
      <c r="C4" s="59"/>
      <c r="D4" s="59"/>
      <c r="E4" s="59"/>
      <c r="F4" s="60"/>
    </row>
    <row r="5" spans="1:6" s="57" customFormat="1" ht="52.5" customHeight="1" x14ac:dyDescent="0.35">
      <c r="A5" s="61" t="s">
        <v>98</v>
      </c>
      <c r="B5" s="62" t="s">
        <v>99</v>
      </c>
      <c r="C5" s="62" t="s">
        <v>100</v>
      </c>
      <c r="D5" s="63" t="s">
        <v>101</v>
      </c>
      <c r="E5" s="64" t="s">
        <v>102</v>
      </c>
      <c r="F5" s="65" t="s">
        <v>103</v>
      </c>
    </row>
    <row r="6" spans="1:6" ht="21.5" customHeight="1" x14ac:dyDescent="0.35">
      <c r="A6" s="5">
        <v>1.1000000000000001</v>
      </c>
      <c r="B6" s="6" t="s">
        <v>86</v>
      </c>
      <c r="C6" s="7" t="s">
        <v>40</v>
      </c>
      <c r="D6" s="12">
        <v>1</v>
      </c>
      <c r="E6" s="9"/>
      <c r="F6" s="10">
        <f>D6*E6</f>
        <v>0</v>
      </c>
    </row>
    <row r="7" spans="1:6" ht="16" thickBot="1" x14ac:dyDescent="0.4">
      <c r="A7" s="30" t="s">
        <v>41</v>
      </c>
      <c r="B7" s="31"/>
      <c r="C7" s="31"/>
      <c r="D7" s="31"/>
      <c r="E7" s="32"/>
      <c r="F7" s="13">
        <f>SUM(F6:F6)</f>
        <v>0</v>
      </c>
    </row>
    <row r="8" spans="1:6" ht="15" thickBot="1" x14ac:dyDescent="0.4">
      <c r="A8" s="1" t="s">
        <v>21</v>
      </c>
      <c r="B8" s="33" t="s">
        <v>0</v>
      </c>
      <c r="C8" s="34"/>
      <c r="D8" s="34"/>
      <c r="E8" s="34"/>
      <c r="F8" s="35"/>
    </row>
    <row r="9" spans="1:6" ht="26" x14ac:dyDescent="0.35">
      <c r="A9" s="2" t="s">
        <v>1</v>
      </c>
      <c r="B9" s="3" t="s">
        <v>2</v>
      </c>
      <c r="C9" s="3" t="s">
        <v>3</v>
      </c>
      <c r="D9" s="3" t="s">
        <v>4</v>
      </c>
      <c r="E9" s="3" t="s">
        <v>5</v>
      </c>
      <c r="F9" s="4" t="s">
        <v>6</v>
      </c>
    </row>
    <row r="10" spans="1:6" x14ac:dyDescent="0.35">
      <c r="A10" s="36" t="s">
        <v>7</v>
      </c>
      <c r="B10" s="37"/>
      <c r="C10" s="37"/>
      <c r="D10" s="37"/>
      <c r="E10" s="37"/>
      <c r="F10" s="38"/>
    </row>
    <row r="11" spans="1:6" ht="43.5" x14ac:dyDescent="0.35">
      <c r="A11" s="5">
        <v>2.1</v>
      </c>
      <c r="B11" s="6" t="s">
        <v>8</v>
      </c>
      <c r="C11" s="7" t="s">
        <v>9</v>
      </c>
      <c r="D11" s="8">
        <f>390*1.4*0.6</f>
        <v>327.59999999999997</v>
      </c>
      <c r="E11" s="9"/>
      <c r="F11" s="10">
        <f>D11*E11</f>
        <v>0</v>
      </c>
    </row>
    <row r="12" spans="1:6" ht="29" x14ac:dyDescent="0.35">
      <c r="A12" s="5">
        <v>2.2000000000000002</v>
      </c>
      <c r="B12" s="6" t="s">
        <v>10</v>
      </c>
      <c r="C12" s="7" t="s">
        <v>11</v>
      </c>
      <c r="D12" s="8">
        <f>390*1.2</f>
        <v>468</v>
      </c>
      <c r="E12" s="9"/>
      <c r="F12" s="10">
        <f t="shared" ref="F12:F19" si="0">D12*E12</f>
        <v>0</v>
      </c>
    </row>
    <row r="13" spans="1:6" ht="29" x14ac:dyDescent="0.35">
      <c r="A13" s="5">
        <v>2.2999999999999998</v>
      </c>
      <c r="B13" s="6" t="s">
        <v>12</v>
      </c>
      <c r="C13" s="7" t="s">
        <v>9</v>
      </c>
      <c r="D13" s="8">
        <f>390*0.4*0.6*2</f>
        <v>187.2</v>
      </c>
      <c r="E13" s="9"/>
      <c r="F13" s="10">
        <f t="shared" si="0"/>
        <v>0</v>
      </c>
    </row>
    <row r="14" spans="1:6" ht="29" x14ac:dyDescent="0.35">
      <c r="A14" s="5">
        <v>2.4</v>
      </c>
      <c r="B14" s="6" t="s">
        <v>13</v>
      </c>
      <c r="C14" s="7" t="s">
        <v>9</v>
      </c>
      <c r="D14" s="8">
        <f>390*0.4*0.1</f>
        <v>15.600000000000001</v>
      </c>
      <c r="E14" s="9"/>
      <c r="F14" s="10">
        <f t="shared" si="0"/>
        <v>0</v>
      </c>
    </row>
    <row r="15" spans="1:6" ht="29" x14ac:dyDescent="0.35">
      <c r="A15" s="5">
        <v>2.5</v>
      </c>
      <c r="B15" s="6" t="s">
        <v>14</v>
      </c>
      <c r="C15" s="7" t="s">
        <v>9</v>
      </c>
      <c r="D15" s="8">
        <f>390*0.4*0.05</f>
        <v>7.8000000000000007</v>
      </c>
      <c r="E15" s="9"/>
      <c r="F15" s="10">
        <f t="shared" si="0"/>
        <v>0</v>
      </c>
    </row>
    <row r="16" spans="1:6" x14ac:dyDescent="0.35">
      <c r="A16" s="5">
        <v>2.6</v>
      </c>
      <c r="B16" s="6" t="s">
        <v>15</v>
      </c>
      <c r="C16" s="7" t="s">
        <v>16</v>
      </c>
      <c r="D16" s="8">
        <f>390*0.5*2</f>
        <v>390</v>
      </c>
      <c r="E16" s="9"/>
      <c r="F16" s="10">
        <f t="shared" si="0"/>
        <v>0</v>
      </c>
    </row>
    <row r="17" spans="1:6" ht="29" x14ac:dyDescent="0.35">
      <c r="A17" s="5">
        <v>2.7</v>
      </c>
      <c r="B17" s="6" t="s">
        <v>17</v>
      </c>
      <c r="C17" s="7" t="s">
        <v>11</v>
      </c>
      <c r="D17" s="11">
        <f>0.45*390*2</f>
        <v>351</v>
      </c>
      <c r="E17" s="9"/>
      <c r="F17" s="10">
        <f t="shared" si="0"/>
        <v>0</v>
      </c>
    </row>
    <row r="18" spans="1:6" ht="58" x14ac:dyDescent="0.35">
      <c r="A18" s="5">
        <v>2.8</v>
      </c>
      <c r="B18" s="6" t="s">
        <v>18</v>
      </c>
      <c r="C18" s="7" t="s">
        <v>9</v>
      </c>
      <c r="D18" s="8">
        <f>1.4*0.1*2</f>
        <v>0.27999999999999997</v>
      </c>
      <c r="E18" s="9"/>
      <c r="F18" s="10">
        <f t="shared" si="0"/>
        <v>0</v>
      </c>
    </row>
    <row r="19" spans="1:6" ht="58" x14ac:dyDescent="0.35">
      <c r="A19" s="5">
        <v>2.9</v>
      </c>
      <c r="B19" s="6" t="s">
        <v>19</v>
      </c>
      <c r="C19" s="7" t="s">
        <v>9</v>
      </c>
      <c r="D19" s="12">
        <f>ROUND(1.4*0.15*24,1)</f>
        <v>5</v>
      </c>
      <c r="E19" s="9"/>
      <c r="F19" s="10">
        <f t="shared" si="0"/>
        <v>0</v>
      </c>
    </row>
    <row r="20" spans="1:6" ht="27" customHeight="1" thickBot="1" x14ac:dyDescent="0.4">
      <c r="A20" s="30" t="s">
        <v>42</v>
      </c>
      <c r="B20" s="31"/>
      <c r="C20" s="31"/>
      <c r="D20" s="31"/>
      <c r="E20" s="32"/>
      <c r="F20" s="13">
        <f>SUM(F11:F19)</f>
        <v>0</v>
      </c>
    </row>
    <row r="21" spans="1:6" ht="15" thickBot="1" x14ac:dyDescent="0.4">
      <c r="A21" s="1" t="s">
        <v>28</v>
      </c>
      <c r="B21" s="39" t="s">
        <v>22</v>
      </c>
      <c r="C21" s="40"/>
      <c r="D21" s="40"/>
      <c r="E21" s="40"/>
      <c r="F21" s="41"/>
    </row>
    <row r="22" spans="1:6" ht="26" x14ac:dyDescent="0.35">
      <c r="A22" s="2" t="s">
        <v>1</v>
      </c>
      <c r="B22" s="3" t="s">
        <v>2</v>
      </c>
      <c r="C22" s="3" t="s">
        <v>3</v>
      </c>
      <c r="D22" s="3" t="s">
        <v>4</v>
      </c>
      <c r="E22" s="3" t="s">
        <v>5</v>
      </c>
      <c r="F22" s="4" t="s">
        <v>6</v>
      </c>
    </row>
    <row r="23" spans="1:6" x14ac:dyDescent="0.35">
      <c r="A23" s="36" t="s">
        <v>23</v>
      </c>
      <c r="B23" s="37"/>
      <c r="C23" s="37"/>
      <c r="D23" s="37"/>
      <c r="E23" s="37"/>
      <c r="F23" s="38"/>
    </row>
    <row r="24" spans="1:6" ht="43.5" x14ac:dyDescent="0.35">
      <c r="A24" s="5">
        <v>3.1</v>
      </c>
      <c r="B24" s="6" t="s">
        <v>24</v>
      </c>
      <c r="C24" s="7" t="s">
        <v>9</v>
      </c>
      <c r="D24" s="12">
        <f>ROUND(220*1.3*0.5, 1)</f>
        <v>143</v>
      </c>
      <c r="E24" s="9"/>
      <c r="F24" s="10">
        <f>D24*E24</f>
        <v>0</v>
      </c>
    </row>
    <row r="25" spans="1:6" ht="29" x14ac:dyDescent="0.35">
      <c r="A25" s="5">
        <v>3.2</v>
      </c>
      <c r="B25" s="6" t="s">
        <v>10</v>
      </c>
      <c r="C25" s="7" t="s">
        <v>11</v>
      </c>
      <c r="D25" s="12">
        <f>ROUND(220*1.2,1)</f>
        <v>264</v>
      </c>
      <c r="E25" s="9"/>
      <c r="F25" s="10">
        <f t="shared" ref="F25:F33" si="1">D25*E25</f>
        <v>0</v>
      </c>
    </row>
    <row r="26" spans="1:6" ht="29" x14ac:dyDescent="0.35">
      <c r="A26" s="5">
        <v>3.3</v>
      </c>
      <c r="B26" s="6" t="s">
        <v>12</v>
      </c>
      <c r="C26" s="7" t="s">
        <v>9</v>
      </c>
      <c r="D26" s="12">
        <f>220*0.4*0.5*2</f>
        <v>88</v>
      </c>
      <c r="E26" s="9"/>
      <c r="F26" s="10">
        <f t="shared" si="1"/>
        <v>0</v>
      </c>
    </row>
    <row r="27" spans="1:6" ht="29" x14ac:dyDescent="0.35">
      <c r="A27" s="5">
        <v>3.4</v>
      </c>
      <c r="B27" s="6" t="s">
        <v>13</v>
      </c>
      <c r="C27" s="7" t="s">
        <v>9</v>
      </c>
      <c r="D27" s="8">
        <f>ROUND(220*0.4*0.1,1)</f>
        <v>8.8000000000000007</v>
      </c>
      <c r="E27" s="9"/>
      <c r="F27" s="10">
        <f t="shared" si="1"/>
        <v>0</v>
      </c>
    </row>
    <row r="28" spans="1:6" ht="29" x14ac:dyDescent="0.35">
      <c r="A28" s="5">
        <v>3.5</v>
      </c>
      <c r="B28" s="6" t="s">
        <v>14</v>
      </c>
      <c r="C28" s="7" t="s">
        <v>9</v>
      </c>
      <c r="D28" s="12">
        <f>ROUND(220*0.4*0.05,1)</f>
        <v>4.4000000000000004</v>
      </c>
      <c r="E28" s="9"/>
      <c r="F28" s="10">
        <f t="shared" si="1"/>
        <v>0</v>
      </c>
    </row>
    <row r="29" spans="1:6" x14ac:dyDescent="0.35">
      <c r="A29" s="5">
        <v>3.6</v>
      </c>
      <c r="B29" s="6" t="s">
        <v>15</v>
      </c>
      <c r="C29" s="7" t="s">
        <v>16</v>
      </c>
      <c r="D29" s="12">
        <f>220*0.4*2</f>
        <v>176</v>
      </c>
      <c r="E29" s="9"/>
      <c r="F29" s="10">
        <f t="shared" si="1"/>
        <v>0</v>
      </c>
    </row>
    <row r="30" spans="1:6" ht="29" x14ac:dyDescent="0.35">
      <c r="A30" s="5">
        <v>3.7</v>
      </c>
      <c r="B30" s="6" t="s">
        <v>17</v>
      </c>
      <c r="C30" s="7" t="s">
        <v>11</v>
      </c>
      <c r="D30" s="12">
        <f>0.45*220*2</f>
        <v>198</v>
      </c>
      <c r="E30" s="9"/>
      <c r="F30" s="10">
        <f t="shared" si="1"/>
        <v>0</v>
      </c>
    </row>
    <row r="31" spans="1:6" ht="58" x14ac:dyDescent="0.35">
      <c r="A31" s="5">
        <v>3.8</v>
      </c>
      <c r="B31" s="6" t="s">
        <v>25</v>
      </c>
      <c r="C31" s="7" t="s">
        <v>9</v>
      </c>
      <c r="D31" s="8">
        <f>ROUND(1.4*0.1*6,1)</f>
        <v>0.8</v>
      </c>
      <c r="E31" s="9"/>
      <c r="F31" s="10">
        <f t="shared" si="1"/>
        <v>0</v>
      </c>
    </row>
    <row r="32" spans="1:6" ht="58" x14ac:dyDescent="0.35">
      <c r="A32" s="5">
        <v>3.9</v>
      </c>
      <c r="B32" s="6" t="s">
        <v>26</v>
      </c>
      <c r="C32" s="7" t="s">
        <v>9</v>
      </c>
      <c r="D32" s="12">
        <f>ROUND(1.4*0.15*18,1)</f>
        <v>3.8</v>
      </c>
      <c r="E32" s="9"/>
      <c r="F32" s="10">
        <f t="shared" si="1"/>
        <v>0</v>
      </c>
    </row>
    <row r="33" spans="1:6" ht="29" x14ac:dyDescent="0.35">
      <c r="A33" s="23">
        <v>3.1</v>
      </c>
      <c r="B33" s="6" t="s">
        <v>27</v>
      </c>
      <c r="C33" s="7" t="s">
        <v>3</v>
      </c>
      <c r="D33" s="8">
        <v>1</v>
      </c>
      <c r="E33" s="9"/>
      <c r="F33" s="10">
        <f t="shared" si="1"/>
        <v>0</v>
      </c>
    </row>
    <row r="34" spans="1:6" ht="30" customHeight="1" thickBot="1" x14ac:dyDescent="0.4">
      <c r="A34" s="30" t="s">
        <v>43</v>
      </c>
      <c r="B34" s="31"/>
      <c r="C34" s="31"/>
      <c r="D34" s="31"/>
      <c r="E34" s="32"/>
      <c r="F34" s="13">
        <f>SUM(F24:F33)</f>
        <v>0</v>
      </c>
    </row>
    <row r="35" spans="1:6" ht="15" thickBot="1" x14ac:dyDescent="0.4">
      <c r="A35" s="1" t="s">
        <v>32</v>
      </c>
      <c r="B35" s="39" t="s">
        <v>29</v>
      </c>
      <c r="C35" s="40"/>
      <c r="D35" s="40"/>
      <c r="E35" s="40"/>
      <c r="F35" s="41"/>
    </row>
    <row r="36" spans="1:6" ht="26" x14ac:dyDescent="0.35">
      <c r="A36" s="2" t="s">
        <v>1</v>
      </c>
      <c r="B36" s="3" t="s">
        <v>2</v>
      </c>
      <c r="C36" s="3" t="s">
        <v>3</v>
      </c>
      <c r="D36" s="3" t="s">
        <v>4</v>
      </c>
      <c r="E36" s="3" t="s">
        <v>5</v>
      </c>
      <c r="F36" s="4" t="s">
        <v>6</v>
      </c>
    </row>
    <row r="37" spans="1:6" x14ac:dyDescent="0.35">
      <c r="A37" s="36" t="s">
        <v>30</v>
      </c>
      <c r="B37" s="37"/>
      <c r="C37" s="37"/>
      <c r="D37" s="37"/>
      <c r="E37" s="37"/>
      <c r="F37" s="38"/>
    </row>
    <row r="38" spans="1:6" ht="43.5" x14ac:dyDescent="0.35">
      <c r="A38" s="5">
        <v>4.0999999999999996</v>
      </c>
      <c r="B38" s="6" t="s">
        <v>24</v>
      </c>
      <c r="C38" s="7" t="s">
        <v>9</v>
      </c>
      <c r="D38" s="12">
        <f>ROUND(150*1.3*0.5, 1)</f>
        <v>97.5</v>
      </c>
      <c r="E38" s="9"/>
      <c r="F38" s="10">
        <f>D38*E38</f>
        <v>0</v>
      </c>
    </row>
    <row r="39" spans="1:6" ht="29" x14ac:dyDescent="0.35">
      <c r="A39" s="5">
        <v>4.2</v>
      </c>
      <c r="B39" s="6" t="s">
        <v>10</v>
      </c>
      <c r="C39" s="7" t="s">
        <v>11</v>
      </c>
      <c r="D39" s="12">
        <f>ROUND(150*1.2,1)</f>
        <v>180</v>
      </c>
      <c r="E39" s="9"/>
      <c r="F39" s="10">
        <f t="shared" ref="F39:F46" si="2">D39*E39</f>
        <v>0</v>
      </c>
    </row>
    <row r="40" spans="1:6" ht="29" x14ac:dyDescent="0.35">
      <c r="A40" s="5">
        <v>4.3</v>
      </c>
      <c r="B40" s="6" t="s">
        <v>12</v>
      </c>
      <c r="C40" s="7" t="s">
        <v>9</v>
      </c>
      <c r="D40" s="12">
        <f>150*0.4*0.5*2</f>
        <v>60</v>
      </c>
      <c r="E40" s="9"/>
      <c r="F40" s="10">
        <f t="shared" si="2"/>
        <v>0</v>
      </c>
    </row>
    <row r="41" spans="1:6" ht="29" x14ac:dyDescent="0.35">
      <c r="A41" s="5">
        <v>4.4000000000000004</v>
      </c>
      <c r="B41" s="6" t="s">
        <v>13</v>
      </c>
      <c r="C41" s="7" t="s">
        <v>9</v>
      </c>
      <c r="D41" s="12">
        <f>ROUND(150*0.4*0.1,1)</f>
        <v>6</v>
      </c>
      <c r="E41" s="9"/>
      <c r="F41" s="10">
        <f t="shared" si="2"/>
        <v>0</v>
      </c>
    </row>
    <row r="42" spans="1:6" ht="29" x14ac:dyDescent="0.35">
      <c r="A42" s="5">
        <v>4.5</v>
      </c>
      <c r="B42" s="6" t="s">
        <v>14</v>
      </c>
      <c r="C42" s="7" t="s">
        <v>9</v>
      </c>
      <c r="D42" s="12">
        <f>ROUND(150*0.4*0.05,1)</f>
        <v>3</v>
      </c>
      <c r="E42" s="9"/>
      <c r="F42" s="10">
        <f t="shared" si="2"/>
        <v>0</v>
      </c>
    </row>
    <row r="43" spans="1:6" x14ac:dyDescent="0.35">
      <c r="A43" s="5">
        <v>4.5999999999999996</v>
      </c>
      <c r="B43" s="6" t="s">
        <v>15</v>
      </c>
      <c r="C43" s="7" t="s">
        <v>16</v>
      </c>
      <c r="D43" s="12">
        <f>150*0.4*2</f>
        <v>120</v>
      </c>
      <c r="E43" s="9"/>
      <c r="F43" s="10">
        <f t="shared" si="2"/>
        <v>0</v>
      </c>
    </row>
    <row r="44" spans="1:6" ht="29" x14ac:dyDescent="0.35">
      <c r="A44" s="5">
        <v>4.7</v>
      </c>
      <c r="B44" s="6" t="s">
        <v>17</v>
      </c>
      <c r="C44" s="7" t="s">
        <v>11</v>
      </c>
      <c r="D44" s="12">
        <f>0.45*150*2</f>
        <v>135</v>
      </c>
      <c r="E44" s="9"/>
      <c r="F44" s="10">
        <f t="shared" si="2"/>
        <v>0</v>
      </c>
    </row>
    <row r="45" spans="1:6" ht="58" x14ac:dyDescent="0.35">
      <c r="A45" s="5">
        <v>4.8</v>
      </c>
      <c r="B45" s="6" t="s">
        <v>31</v>
      </c>
      <c r="C45" s="7" t="s">
        <v>9</v>
      </c>
      <c r="D45" s="8">
        <f>ROUND(1.4*0.1*5,1)</f>
        <v>0.7</v>
      </c>
      <c r="E45" s="9"/>
      <c r="F45" s="10">
        <f t="shared" si="2"/>
        <v>0</v>
      </c>
    </row>
    <row r="46" spans="1:6" ht="29" x14ac:dyDescent="0.35">
      <c r="A46" s="5">
        <v>4.9000000000000004</v>
      </c>
      <c r="B46" s="6" t="s">
        <v>27</v>
      </c>
      <c r="C46" s="7" t="s">
        <v>3</v>
      </c>
      <c r="D46" s="8">
        <v>1</v>
      </c>
      <c r="E46" s="9"/>
      <c r="F46" s="10">
        <f t="shared" si="2"/>
        <v>0</v>
      </c>
    </row>
    <row r="47" spans="1:6" ht="35" customHeight="1" thickBot="1" x14ac:dyDescent="0.4">
      <c r="A47" s="30" t="s">
        <v>44</v>
      </c>
      <c r="B47" s="31"/>
      <c r="C47" s="31"/>
      <c r="D47" s="31"/>
      <c r="E47" s="32"/>
      <c r="F47" s="13">
        <f>SUM(F38:F46)</f>
        <v>0</v>
      </c>
    </row>
    <row r="48" spans="1:6" ht="15" thickBot="1" x14ac:dyDescent="0.4">
      <c r="A48" s="1" t="s">
        <v>45</v>
      </c>
      <c r="B48" s="39" t="s">
        <v>87</v>
      </c>
      <c r="C48" s="40"/>
      <c r="D48" s="40"/>
      <c r="E48" s="40"/>
      <c r="F48" s="41"/>
    </row>
    <row r="49" spans="1:6" ht="26" x14ac:dyDescent="0.35">
      <c r="A49" s="2" t="s">
        <v>1</v>
      </c>
      <c r="B49" s="3" t="s">
        <v>2</v>
      </c>
      <c r="C49" s="3" t="s">
        <v>3</v>
      </c>
      <c r="D49" s="3" t="s">
        <v>4</v>
      </c>
      <c r="E49" s="3" t="s">
        <v>5</v>
      </c>
      <c r="F49" s="4" t="s">
        <v>6</v>
      </c>
    </row>
    <row r="50" spans="1:6" x14ac:dyDescent="0.35">
      <c r="A50" s="36" t="s">
        <v>88</v>
      </c>
      <c r="B50" s="37"/>
      <c r="C50" s="37"/>
      <c r="D50" s="37"/>
      <c r="E50" s="37"/>
      <c r="F50" s="38"/>
    </row>
    <row r="51" spans="1:6" ht="43.5" x14ac:dyDescent="0.35">
      <c r="A51" s="5">
        <v>5.0999999999999996</v>
      </c>
      <c r="B51" s="6" t="s">
        <v>24</v>
      </c>
      <c r="C51" s="7" t="s">
        <v>9</v>
      </c>
      <c r="D51" s="12">
        <f>ROUND(190*1.3*0.5, 1)</f>
        <v>123.5</v>
      </c>
      <c r="E51" s="9"/>
      <c r="F51" s="10">
        <f>D51*E51</f>
        <v>0</v>
      </c>
    </row>
    <row r="52" spans="1:6" ht="29" x14ac:dyDescent="0.35">
      <c r="A52" s="5">
        <v>5.2</v>
      </c>
      <c r="B52" s="6" t="s">
        <v>10</v>
      </c>
      <c r="C52" s="7" t="s">
        <v>11</v>
      </c>
      <c r="D52" s="12">
        <f>ROUND(190*1.2,1)</f>
        <v>228</v>
      </c>
      <c r="E52" s="9"/>
      <c r="F52" s="10">
        <f t="shared" ref="F52:F60" si="3">D52*E52</f>
        <v>0</v>
      </c>
    </row>
    <row r="53" spans="1:6" ht="29" x14ac:dyDescent="0.35">
      <c r="A53" s="5">
        <v>5.3</v>
      </c>
      <c r="B53" s="6" t="s">
        <v>12</v>
      </c>
      <c r="C53" s="7" t="s">
        <v>9</v>
      </c>
      <c r="D53" s="12">
        <f>190*0.4*0.5*2</f>
        <v>76</v>
      </c>
      <c r="E53" s="9"/>
      <c r="F53" s="10">
        <f t="shared" si="3"/>
        <v>0</v>
      </c>
    </row>
    <row r="54" spans="1:6" ht="29" x14ac:dyDescent="0.35">
      <c r="A54" s="5">
        <v>5.4</v>
      </c>
      <c r="B54" s="6" t="s">
        <v>13</v>
      </c>
      <c r="C54" s="7" t="s">
        <v>9</v>
      </c>
      <c r="D54" s="12">
        <f>ROUND(190.4*0.1,1)</f>
        <v>19</v>
      </c>
      <c r="E54" s="9"/>
      <c r="F54" s="10">
        <f t="shared" si="3"/>
        <v>0</v>
      </c>
    </row>
    <row r="55" spans="1:6" ht="29" x14ac:dyDescent="0.35">
      <c r="A55" s="5">
        <v>5.5</v>
      </c>
      <c r="B55" s="6" t="s">
        <v>14</v>
      </c>
      <c r="C55" s="7" t="s">
        <v>9</v>
      </c>
      <c r="D55" s="12">
        <f>ROUND(190*0.4*0.05,1)</f>
        <v>3.8</v>
      </c>
      <c r="E55" s="9"/>
      <c r="F55" s="10">
        <f t="shared" si="3"/>
        <v>0</v>
      </c>
    </row>
    <row r="56" spans="1:6" x14ac:dyDescent="0.35">
      <c r="A56" s="5">
        <v>5.6</v>
      </c>
      <c r="B56" s="6" t="s">
        <v>15</v>
      </c>
      <c r="C56" s="7" t="s">
        <v>16</v>
      </c>
      <c r="D56" s="12">
        <f>190*0.4*2</f>
        <v>152</v>
      </c>
      <c r="E56" s="9"/>
      <c r="F56" s="10">
        <f t="shared" si="3"/>
        <v>0</v>
      </c>
    </row>
    <row r="57" spans="1:6" ht="29" x14ac:dyDescent="0.35">
      <c r="A57" s="5">
        <v>5.7</v>
      </c>
      <c r="B57" s="6" t="s">
        <v>17</v>
      </c>
      <c r="C57" s="7" t="s">
        <v>11</v>
      </c>
      <c r="D57" s="12">
        <f>0.45*190*2</f>
        <v>171</v>
      </c>
      <c r="E57" s="9"/>
      <c r="F57" s="10">
        <f t="shared" si="3"/>
        <v>0</v>
      </c>
    </row>
    <row r="58" spans="1:6" ht="58" x14ac:dyDescent="0.35">
      <c r="A58" s="5">
        <v>5.8</v>
      </c>
      <c r="B58" s="6" t="s">
        <v>31</v>
      </c>
      <c r="C58" s="7" t="s">
        <v>9</v>
      </c>
      <c r="D58" s="8">
        <f>ROUND(1.4*0.1*5,1)</f>
        <v>0.7</v>
      </c>
      <c r="E58" s="9"/>
      <c r="F58" s="10">
        <f t="shared" si="3"/>
        <v>0</v>
      </c>
    </row>
    <row r="59" spans="1:6" ht="58" x14ac:dyDescent="0.35">
      <c r="A59" s="5">
        <v>5.9</v>
      </c>
      <c r="B59" s="6" t="s">
        <v>33</v>
      </c>
      <c r="C59" s="7" t="s">
        <v>9</v>
      </c>
      <c r="D59" s="12">
        <f>ROUND(1.4*0.15*13,1)</f>
        <v>2.7</v>
      </c>
      <c r="E59" s="9"/>
      <c r="F59" s="10">
        <f t="shared" si="3"/>
        <v>0</v>
      </c>
    </row>
    <row r="60" spans="1:6" ht="32.5" customHeight="1" x14ac:dyDescent="0.35">
      <c r="A60" s="23">
        <v>5.0999999999999996</v>
      </c>
      <c r="B60" s="6" t="s">
        <v>27</v>
      </c>
      <c r="C60" s="7" t="s">
        <v>3</v>
      </c>
      <c r="D60" s="8">
        <v>1</v>
      </c>
      <c r="E60" s="9"/>
      <c r="F60" s="10">
        <f t="shared" si="3"/>
        <v>0</v>
      </c>
    </row>
    <row r="61" spans="1:6" ht="28" customHeight="1" thickBot="1" x14ac:dyDescent="0.4">
      <c r="A61" s="30" t="s">
        <v>46</v>
      </c>
      <c r="B61" s="31"/>
      <c r="C61" s="31"/>
      <c r="D61" s="31"/>
      <c r="E61" s="32"/>
      <c r="F61" s="13">
        <f>SUM(F51:F60)</f>
        <v>0</v>
      </c>
    </row>
    <row r="62" spans="1:6" ht="15" thickBot="1" x14ac:dyDescent="0.4">
      <c r="A62" s="1" t="s">
        <v>47</v>
      </c>
      <c r="B62" s="33" t="s">
        <v>34</v>
      </c>
      <c r="C62" s="34"/>
      <c r="D62" s="34"/>
      <c r="E62" s="34"/>
      <c r="F62" s="35"/>
    </row>
    <row r="63" spans="1:6" ht="26" x14ac:dyDescent="0.35">
      <c r="A63" s="2" t="s">
        <v>1</v>
      </c>
      <c r="B63" s="3" t="s">
        <v>2</v>
      </c>
      <c r="C63" s="3" t="s">
        <v>3</v>
      </c>
      <c r="D63" s="3" t="s">
        <v>4</v>
      </c>
      <c r="E63" s="3" t="s">
        <v>5</v>
      </c>
      <c r="F63" s="4" t="s">
        <v>6</v>
      </c>
    </row>
    <row r="64" spans="1:6" ht="58" x14ac:dyDescent="0.35">
      <c r="A64" s="5">
        <v>6.1</v>
      </c>
      <c r="B64" s="6" t="s">
        <v>35</v>
      </c>
      <c r="C64" s="7" t="s">
        <v>36</v>
      </c>
      <c r="D64" s="8">
        <v>8</v>
      </c>
      <c r="E64" s="14"/>
      <c r="F64" s="15">
        <f t="shared" ref="F64:F65" si="4">D64*E64</f>
        <v>0</v>
      </c>
    </row>
    <row r="65" spans="1:6" ht="101.5" x14ac:dyDescent="0.35">
      <c r="A65" s="5">
        <v>6.2</v>
      </c>
      <c r="B65" s="6" t="s">
        <v>37</v>
      </c>
      <c r="C65" s="7" t="s">
        <v>36</v>
      </c>
      <c r="D65" s="12">
        <f>3*1.2*1.5*28</f>
        <v>151.19999999999999</v>
      </c>
      <c r="E65" s="14"/>
      <c r="F65" s="15">
        <f t="shared" si="4"/>
        <v>0</v>
      </c>
    </row>
    <row r="66" spans="1:6" ht="30" customHeight="1" thickBot="1" x14ac:dyDescent="0.4">
      <c r="A66" s="30" t="s">
        <v>20</v>
      </c>
      <c r="B66" s="31"/>
      <c r="C66" s="31"/>
      <c r="D66" s="31"/>
      <c r="E66" s="32"/>
      <c r="F66" s="13">
        <f>SUM(F64:F65)</f>
        <v>0</v>
      </c>
    </row>
    <row r="67" spans="1:6" s="19" customFormat="1" ht="15" thickBot="1" x14ac:dyDescent="0.4">
      <c r="A67" s="18" t="s">
        <v>69</v>
      </c>
      <c r="B67" s="48" t="s">
        <v>48</v>
      </c>
      <c r="C67" s="49"/>
      <c r="D67" s="49"/>
      <c r="E67" s="49"/>
      <c r="F67" s="50"/>
    </row>
    <row r="68" spans="1:6" s="20" customFormat="1" ht="26" x14ac:dyDescent="0.35">
      <c r="A68" s="2" t="s">
        <v>1</v>
      </c>
      <c r="B68" s="3" t="s">
        <v>2</v>
      </c>
      <c r="C68" s="3" t="s">
        <v>3</v>
      </c>
      <c r="D68" s="3" t="s">
        <v>4</v>
      </c>
      <c r="E68" s="3" t="s">
        <v>5</v>
      </c>
      <c r="F68" s="4" t="s">
        <v>6</v>
      </c>
    </row>
    <row r="69" spans="1:6" s="20" customFormat="1" x14ac:dyDescent="0.35">
      <c r="A69" s="36" t="s">
        <v>49</v>
      </c>
      <c r="B69" s="37"/>
      <c r="C69" s="37"/>
      <c r="D69" s="37"/>
      <c r="E69" s="37"/>
      <c r="F69" s="38"/>
    </row>
    <row r="70" spans="1:6" s="19" customFormat="1" ht="43.5" x14ac:dyDescent="0.35">
      <c r="A70" s="5">
        <v>7.1</v>
      </c>
      <c r="B70" s="6" t="s">
        <v>50</v>
      </c>
      <c r="C70" s="7" t="s">
        <v>9</v>
      </c>
      <c r="D70" s="12">
        <f>ROUND(180*1.3*0.5, 1)</f>
        <v>117</v>
      </c>
      <c r="E70" s="9"/>
      <c r="F70" s="10">
        <f>D70*E70</f>
        <v>0</v>
      </c>
    </row>
    <row r="71" spans="1:6" s="19" customFormat="1" ht="29" x14ac:dyDescent="0.35">
      <c r="A71" s="5">
        <v>7.2</v>
      </c>
      <c r="B71" s="6" t="s">
        <v>10</v>
      </c>
      <c r="C71" s="7" t="s">
        <v>11</v>
      </c>
      <c r="D71" s="12">
        <f>ROUND(180*1.2,1)</f>
        <v>216</v>
      </c>
      <c r="E71" s="9"/>
      <c r="F71" s="10">
        <f t="shared" ref="F71:F77" si="5">D71*E71</f>
        <v>0</v>
      </c>
    </row>
    <row r="72" spans="1:6" s="19" customFormat="1" ht="29" x14ac:dyDescent="0.35">
      <c r="A72" s="5">
        <v>7.3</v>
      </c>
      <c r="B72" s="21" t="s">
        <v>12</v>
      </c>
      <c r="C72" s="7" t="s">
        <v>9</v>
      </c>
      <c r="D72" s="12">
        <f>180*0.4*0.5*2</f>
        <v>72</v>
      </c>
      <c r="E72" s="9"/>
      <c r="F72" s="10">
        <f t="shared" si="5"/>
        <v>0</v>
      </c>
    </row>
    <row r="73" spans="1:6" s="19" customFormat="1" ht="29" x14ac:dyDescent="0.35">
      <c r="A73" s="5">
        <v>7.4</v>
      </c>
      <c r="B73" s="6" t="s">
        <v>13</v>
      </c>
      <c r="C73" s="7" t="s">
        <v>9</v>
      </c>
      <c r="D73" s="8">
        <f>ROUND(180*0.4*0.1,1)</f>
        <v>7.2</v>
      </c>
      <c r="E73" s="9"/>
      <c r="F73" s="10">
        <f t="shared" si="5"/>
        <v>0</v>
      </c>
    </row>
    <row r="74" spans="1:6" s="19" customFormat="1" ht="29" x14ac:dyDescent="0.35">
      <c r="A74" s="5">
        <v>7.5</v>
      </c>
      <c r="B74" s="21" t="s">
        <v>14</v>
      </c>
      <c r="C74" s="7" t="s">
        <v>9</v>
      </c>
      <c r="D74" s="12">
        <f>ROUND(180*0.4*0.05,1)</f>
        <v>3.6</v>
      </c>
      <c r="E74" s="9"/>
      <c r="F74" s="10">
        <f t="shared" si="5"/>
        <v>0</v>
      </c>
    </row>
    <row r="75" spans="1:6" s="19" customFormat="1" x14ac:dyDescent="0.35">
      <c r="A75" s="5">
        <v>7.6</v>
      </c>
      <c r="B75" s="6" t="s">
        <v>15</v>
      </c>
      <c r="C75" s="7" t="s">
        <v>16</v>
      </c>
      <c r="D75" s="12">
        <f>180*0.4*2</f>
        <v>144</v>
      </c>
      <c r="E75" s="9"/>
      <c r="F75" s="10">
        <f t="shared" si="5"/>
        <v>0</v>
      </c>
    </row>
    <row r="76" spans="1:6" s="19" customFormat="1" ht="29" x14ac:dyDescent="0.35">
      <c r="A76" s="5">
        <v>7.7</v>
      </c>
      <c r="B76" s="6" t="s">
        <v>17</v>
      </c>
      <c r="C76" s="7" t="s">
        <v>11</v>
      </c>
      <c r="D76" s="12">
        <f>0.45*180*2</f>
        <v>162</v>
      </c>
      <c r="E76" s="9"/>
      <c r="F76" s="10">
        <f t="shared" si="5"/>
        <v>0</v>
      </c>
    </row>
    <row r="77" spans="1:6" s="19" customFormat="1" ht="58" x14ac:dyDescent="0.35">
      <c r="A77" s="5">
        <v>7.8</v>
      </c>
      <c r="B77" s="6" t="s">
        <v>25</v>
      </c>
      <c r="C77" s="7" t="s">
        <v>9</v>
      </c>
      <c r="D77" s="8">
        <f>ROUND(1.4*0.1*6,1)</f>
        <v>0.8</v>
      </c>
      <c r="E77" s="9"/>
      <c r="F77" s="10">
        <f t="shared" si="5"/>
        <v>0</v>
      </c>
    </row>
    <row r="78" spans="1:6" s="22" customFormat="1" ht="30" customHeight="1" thickBot="1" x14ac:dyDescent="0.4">
      <c r="A78" s="30" t="s">
        <v>63</v>
      </c>
      <c r="B78" s="31"/>
      <c r="C78" s="31"/>
      <c r="D78" s="31"/>
      <c r="E78" s="32"/>
      <c r="F78" s="13">
        <f>SUM(F70:F77)</f>
        <v>0</v>
      </c>
    </row>
    <row r="79" spans="1:6" s="19" customFormat="1" ht="15" thickBot="1" x14ac:dyDescent="0.4">
      <c r="A79" s="18" t="s">
        <v>70</v>
      </c>
      <c r="B79" s="48" t="s">
        <v>51</v>
      </c>
      <c r="C79" s="49"/>
      <c r="D79" s="49"/>
      <c r="E79" s="49"/>
      <c r="F79" s="50"/>
    </row>
    <row r="80" spans="1:6" s="20" customFormat="1" ht="26" x14ac:dyDescent="0.35">
      <c r="A80" s="2" t="s">
        <v>1</v>
      </c>
      <c r="B80" s="3" t="s">
        <v>2</v>
      </c>
      <c r="C80" s="3" t="s">
        <v>3</v>
      </c>
      <c r="D80" s="3" t="s">
        <v>4</v>
      </c>
      <c r="E80" s="3" t="s">
        <v>5</v>
      </c>
      <c r="F80" s="4" t="s">
        <v>6</v>
      </c>
    </row>
    <row r="81" spans="1:6" ht="29.5" customHeight="1" x14ac:dyDescent="0.35">
      <c r="A81" s="36" t="s">
        <v>52</v>
      </c>
      <c r="B81" s="37"/>
      <c r="C81" s="37"/>
      <c r="D81" s="37"/>
      <c r="E81" s="37"/>
      <c r="F81" s="38"/>
    </row>
    <row r="82" spans="1:6" ht="43.5" x14ac:dyDescent="0.35">
      <c r="A82" s="5">
        <v>8.1</v>
      </c>
      <c r="B82" s="6" t="s">
        <v>8</v>
      </c>
      <c r="C82" s="7" t="s">
        <v>9</v>
      </c>
      <c r="D82" s="8">
        <f>220*1.4*0.6</f>
        <v>184.79999999999998</v>
      </c>
      <c r="E82" s="9"/>
      <c r="F82" s="10">
        <f>D82*E82</f>
        <v>0</v>
      </c>
    </row>
    <row r="83" spans="1:6" ht="29" x14ac:dyDescent="0.35">
      <c r="A83" s="5">
        <v>8.1999999999999993</v>
      </c>
      <c r="B83" s="6" t="s">
        <v>10</v>
      </c>
      <c r="C83" s="7" t="s">
        <v>11</v>
      </c>
      <c r="D83" s="8">
        <f>220*1.2</f>
        <v>264</v>
      </c>
      <c r="E83" s="9"/>
      <c r="F83" s="10">
        <f t="shared" ref="F83:F92" si="6">D83*E83</f>
        <v>0</v>
      </c>
    </row>
    <row r="84" spans="1:6" ht="29" x14ac:dyDescent="0.35">
      <c r="A84" s="5">
        <v>8.3000000000000007</v>
      </c>
      <c r="B84" s="21" t="s">
        <v>12</v>
      </c>
      <c r="C84" s="7" t="s">
        <v>9</v>
      </c>
      <c r="D84" s="8">
        <f>220*0.4*0.6*2</f>
        <v>105.6</v>
      </c>
      <c r="E84" s="9"/>
      <c r="F84" s="10">
        <f t="shared" si="6"/>
        <v>0</v>
      </c>
    </row>
    <row r="85" spans="1:6" ht="29" x14ac:dyDescent="0.35">
      <c r="A85" s="5">
        <v>8.4</v>
      </c>
      <c r="B85" s="6" t="s">
        <v>13</v>
      </c>
      <c r="C85" s="7" t="s">
        <v>9</v>
      </c>
      <c r="D85" s="8">
        <f>220*0.4*0.1</f>
        <v>8.8000000000000007</v>
      </c>
      <c r="E85" s="9"/>
      <c r="F85" s="10">
        <f t="shared" si="6"/>
        <v>0</v>
      </c>
    </row>
    <row r="86" spans="1:6" ht="29" x14ac:dyDescent="0.35">
      <c r="A86" s="5">
        <v>8.5</v>
      </c>
      <c r="B86" s="21" t="s">
        <v>14</v>
      </c>
      <c r="C86" s="7" t="s">
        <v>9</v>
      </c>
      <c r="D86" s="8">
        <f>220*0.4*0.05</f>
        <v>4.4000000000000004</v>
      </c>
      <c r="E86" s="9"/>
      <c r="F86" s="10">
        <f t="shared" si="6"/>
        <v>0</v>
      </c>
    </row>
    <row r="87" spans="1:6" x14ac:dyDescent="0.35">
      <c r="A87" s="5">
        <v>8.6</v>
      </c>
      <c r="B87" s="6" t="s">
        <v>15</v>
      </c>
      <c r="C87" s="7" t="s">
        <v>16</v>
      </c>
      <c r="D87" s="8">
        <f>220*0.5*2</f>
        <v>220</v>
      </c>
      <c r="E87" s="9"/>
      <c r="F87" s="10">
        <f t="shared" si="6"/>
        <v>0</v>
      </c>
    </row>
    <row r="88" spans="1:6" ht="29" x14ac:dyDescent="0.35">
      <c r="A88" s="5">
        <v>8.6999999999999993</v>
      </c>
      <c r="B88" s="6" t="s">
        <v>17</v>
      </c>
      <c r="C88" s="7" t="s">
        <v>11</v>
      </c>
      <c r="D88" s="11">
        <f>0.45*220*2</f>
        <v>198</v>
      </c>
      <c r="E88" s="9"/>
      <c r="F88" s="10">
        <f t="shared" si="6"/>
        <v>0</v>
      </c>
    </row>
    <row r="89" spans="1:6" s="19" customFormat="1" ht="58" x14ac:dyDescent="0.35">
      <c r="A89" s="5">
        <v>8.8000000000000007</v>
      </c>
      <c r="B89" s="6" t="s">
        <v>53</v>
      </c>
      <c r="C89" s="7" t="s">
        <v>9</v>
      </c>
      <c r="D89" s="8">
        <f>1.4*0.1*4</f>
        <v>0.55999999999999994</v>
      </c>
      <c r="E89" s="9"/>
      <c r="F89" s="10">
        <f t="shared" si="6"/>
        <v>0</v>
      </c>
    </row>
    <row r="90" spans="1:6" ht="58" x14ac:dyDescent="0.35">
      <c r="A90" s="5">
        <v>8.9</v>
      </c>
      <c r="B90" s="6" t="s">
        <v>54</v>
      </c>
      <c r="C90" s="7" t="s">
        <v>9</v>
      </c>
      <c r="D90" s="8">
        <f>1.4*0.15*18</f>
        <v>3.78</v>
      </c>
      <c r="E90" s="9"/>
      <c r="F90" s="10">
        <f t="shared" si="6"/>
        <v>0</v>
      </c>
    </row>
    <row r="91" spans="1:6" ht="29" x14ac:dyDescent="0.35">
      <c r="A91" s="5" t="s">
        <v>90</v>
      </c>
      <c r="B91" s="6" t="s">
        <v>27</v>
      </c>
      <c r="C91" s="7" t="s">
        <v>3</v>
      </c>
      <c r="D91" s="8">
        <v>1</v>
      </c>
      <c r="E91" s="9"/>
      <c r="F91" s="10">
        <f t="shared" si="6"/>
        <v>0</v>
      </c>
    </row>
    <row r="92" spans="1:6" s="19" customFormat="1" ht="58" x14ac:dyDescent="0.35">
      <c r="A92" s="5" t="s">
        <v>91</v>
      </c>
      <c r="B92" s="6" t="s">
        <v>55</v>
      </c>
      <c r="C92" s="7" t="s">
        <v>36</v>
      </c>
      <c r="D92" s="11">
        <f>D82*70%</f>
        <v>129.35999999999999</v>
      </c>
      <c r="E92" s="9"/>
      <c r="F92" s="10">
        <f t="shared" si="6"/>
        <v>0</v>
      </c>
    </row>
    <row r="93" spans="1:6" ht="26.5" customHeight="1" thickBot="1" x14ac:dyDescent="0.4">
      <c r="A93" s="30" t="s">
        <v>64</v>
      </c>
      <c r="B93" s="31"/>
      <c r="C93" s="31"/>
      <c r="D93" s="31"/>
      <c r="E93" s="32"/>
      <c r="F93" s="13">
        <f>SUM(F82:F92)</f>
        <v>0</v>
      </c>
    </row>
    <row r="94" spans="1:6" ht="15" thickBot="1" x14ac:dyDescent="0.4">
      <c r="A94" s="18" t="s">
        <v>71</v>
      </c>
      <c r="B94" s="51" t="s">
        <v>68</v>
      </c>
      <c r="C94" s="52"/>
      <c r="D94" s="52"/>
      <c r="E94" s="52"/>
      <c r="F94" s="53"/>
    </row>
    <row r="95" spans="1:6" ht="26" x14ac:dyDescent="0.35">
      <c r="A95" s="2" t="s">
        <v>1</v>
      </c>
      <c r="B95" s="3" t="s">
        <v>2</v>
      </c>
      <c r="C95" s="3" t="s">
        <v>3</v>
      </c>
      <c r="D95" s="3" t="s">
        <v>4</v>
      </c>
      <c r="E95" s="3" t="s">
        <v>5</v>
      </c>
      <c r="F95" s="4" t="s">
        <v>6</v>
      </c>
    </row>
    <row r="96" spans="1:6" x14ac:dyDescent="0.35">
      <c r="A96" s="36" t="s">
        <v>85</v>
      </c>
      <c r="B96" s="37"/>
      <c r="C96" s="37"/>
      <c r="D96" s="37"/>
      <c r="E96" s="37"/>
      <c r="F96" s="38"/>
    </row>
    <row r="97" spans="1:6" ht="72.5" x14ac:dyDescent="0.35">
      <c r="A97" s="5">
        <v>9.1</v>
      </c>
      <c r="B97" s="6" t="s">
        <v>96</v>
      </c>
      <c r="C97" s="7" t="s">
        <v>9</v>
      </c>
      <c r="D97" s="8">
        <f>340*1.4*0.7</f>
        <v>333.19999999999993</v>
      </c>
      <c r="E97" s="9"/>
      <c r="F97" s="10">
        <f>D97*E97</f>
        <v>0</v>
      </c>
    </row>
    <row r="98" spans="1:6" ht="29" x14ac:dyDescent="0.35">
      <c r="A98" s="5">
        <v>9.1999999999999993</v>
      </c>
      <c r="B98" s="6" t="s">
        <v>10</v>
      </c>
      <c r="C98" s="7" t="s">
        <v>11</v>
      </c>
      <c r="D98" s="8">
        <f>340*1.4</f>
        <v>475.99999999999994</v>
      </c>
      <c r="E98" s="9"/>
      <c r="F98" s="10">
        <f t="shared" ref="F98:F104" si="7">D98*E98</f>
        <v>0</v>
      </c>
    </row>
    <row r="99" spans="1:6" ht="29" x14ac:dyDescent="0.35">
      <c r="A99" s="5">
        <v>9.3000000000000007</v>
      </c>
      <c r="B99" s="6" t="s">
        <v>12</v>
      </c>
      <c r="C99" s="7" t="s">
        <v>9</v>
      </c>
      <c r="D99" s="12">
        <f>340*0.4*0.8*2</f>
        <v>217.60000000000002</v>
      </c>
      <c r="E99" s="9"/>
      <c r="F99" s="10">
        <f t="shared" si="7"/>
        <v>0</v>
      </c>
    </row>
    <row r="100" spans="1:6" ht="29" x14ac:dyDescent="0.35">
      <c r="A100" s="5">
        <v>9.4</v>
      </c>
      <c r="B100" s="6" t="s">
        <v>13</v>
      </c>
      <c r="C100" s="7" t="s">
        <v>9</v>
      </c>
      <c r="D100" s="12">
        <f>340*0.4*0.1</f>
        <v>13.600000000000001</v>
      </c>
      <c r="E100" s="9"/>
      <c r="F100" s="10">
        <f t="shared" si="7"/>
        <v>0</v>
      </c>
    </row>
    <row r="101" spans="1:6" ht="29" x14ac:dyDescent="0.35">
      <c r="A101" s="5">
        <v>9.5</v>
      </c>
      <c r="B101" s="6" t="s">
        <v>14</v>
      </c>
      <c r="C101" s="7" t="s">
        <v>9</v>
      </c>
      <c r="D101" s="12">
        <f>340*0.4*0.05</f>
        <v>6.8000000000000007</v>
      </c>
      <c r="E101" s="9"/>
      <c r="F101" s="10">
        <f t="shared" si="7"/>
        <v>0</v>
      </c>
    </row>
    <row r="102" spans="1:6" x14ac:dyDescent="0.35">
      <c r="A102" s="5">
        <v>9.6</v>
      </c>
      <c r="B102" s="6" t="s">
        <v>15</v>
      </c>
      <c r="C102" s="7" t="s">
        <v>16</v>
      </c>
      <c r="D102" s="8">
        <f>340*0.5*2</f>
        <v>340</v>
      </c>
      <c r="E102" s="9"/>
      <c r="F102" s="10">
        <f t="shared" si="7"/>
        <v>0</v>
      </c>
    </row>
    <row r="103" spans="1:6" ht="29" x14ac:dyDescent="0.35">
      <c r="A103" s="5">
        <v>9.6999999999999993</v>
      </c>
      <c r="B103" s="6" t="s">
        <v>17</v>
      </c>
      <c r="C103" s="7" t="s">
        <v>11</v>
      </c>
      <c r="D103" s="12">
        <f>0.45*340*2</f>
        <v>306</v>
      </c>
      <c r="E103" s="9"/>
      <c r="F103" s="10">
        <f t="shared" si="7"/>
        <v>0</v>
      </c>
    </row>
    <row r="104" spans="1:6" ht="58" x14ac:dyDescent="0.35">
      <c r="A104" s="5">
        <v>9.8000000000000007</v>
      </c>
      <c r="B104" s="6" t="s">
        <v>25</v>
      </c>
      <c r="C104" s="7" t="s">
        <v>9</v>
      </c>
      <c r="D104" s="8">
        <f>1.4*0.1*6</f>
        <v>0.83999999999999986</v>
      </c>
      <c r="E104" s="9"/>
      <c r="F104" s="10">
        <f t="shared" si="7"/>
        <v>0</v>
      </c>
    </row>
    <row r="105" spans="1:6" ht="27.5" customHeight="1" thickBot="1" x14ac:dyDescent="0.4">
      <c r="A105" s="30" t="s">
        <v>65</v>
      </c>
      <c r="B105" s="31"/>
      <c r="C105" s="31"/>
      <c r="D105" s="31"/>
      <c r="E105" s="32"/>
      <c r="F105" s="13">
        <f>SUM(F97:F104)</f>
        <v>0</v>
      </c>
    </row>
    <row r="106" spans="1:6" s="19" customFormat="1" ht="15" thickBot="1" x14ac:dyDescent="0.4">
      <c r="A106" s="17" t="s">
        <v>66</v>
      </c>
      <c r="B106" s="39" t="s">
        <v>56</v>
      </c>
      <c r="C106" s="40"/>
      <c r="D106" s="40"/>
      <c r="E106" s="40"/>
      <c r="F106" s="41"/>
    </row>
    <row r="107" spans="1:6" s="20" customFormat="1" ht="26" x14ac:dyDescent="0.35">
      <c r="A107" s="2" t="s">
        <v>1</v>
      </c>
      <c r="B107" s="3" t="s">
        <v>2</v>
      </c>
      <c r="C107" s="3" t="s">
        <v>3</v>
      </c>
      <c r="D107" s="3" t="s">
        <v>4</v>
      </c>
      <c r="E107" s="3" t="s">
        <v>5</v>
      </c>
      <c r="F107" s="4" t="s">
        <v>6</v>
      </c>
    </row>
    <row r="108" spans="1:6" x14ac:dyDescent="0.35">
      <c r="A108" s="36" t="s">
        <v>57</v>
      </c>
      <c r="B108" s="37"/>
      <c r="C108" s="37"/>
      <c r="D108" s="37"/>
      <c r="E108" s="37"/>
      <c r="F108" s="38"/>
    </row>
    <row r="109" spans="1:6" ht="43.5" x14ac:dyDescent="0.35">
      <c r="A109" s="24">
        <v>10.1</v>
      </c>
      <c r="B109" s="6" t="s">
        <v>95</v>
      </c>
      <c r="C109" s="7" t="s">
        <v>9</v>
      </c>
      <c r="D109" s="8">
        <f>170*1.4*0.6</f>
        <v>142.79999999999998</v>
      </c>
      <c r="E109" s="9"/>
      <c r="F109" s="10">
        <f>D109*E109</f>
        <v>0</v>
      </c>
    </row>
    <row r="110" spans="1:6" ht="29" x14ac:dyDescent="0.35">
      <c r="A110" s="5">
        <v>10.199999999999999</v>
      </c>
      <c r="B110" s="6" t="s">
        <v>10</v>
      </c>
      <c r="C110" s="7" t="s">
        <v>11</v>
      </c>
      <c r="D110" s="8">
        <f>170*1.2</f>
        <v>204</v>
      </c>
      <c r="E110" s="9"/>
      <c r="F110" s="10">
        <f t="shared" ref="F110:F118" si="8">D110*E110</f>
        <v>0</v>
      </c>
    </row>
    <row r="111" spans="1:6" ht="29" x14ac:dyDescent="0.35">
      <c r="A111" s="24">
        <v>10.3</v>
      </c>
      <c r="B111" s="6" t="s">
        <v>12</v>
      </c>
      <c r="C111" s="7" t="s">
        <v>9</v>
      </c>
      <c r="D111" s="8">
        <f>170*0.4*0.6*2</f>
        <v>81.599999999999994</v>
      </c>
      <c r="E111" s="9"/>
      <c r="F111" s="10">
        <f t="shared" si="8"/>
        <v>0</v>
      </c>
    </row>
    <row r="112" spans="1:6" ht="29" x14ac:dyDescent="0.35">
      <c r="A112" s="5">
        <v>10.4</v>
      </c>
      <c r="B112" s="6" t="s">
        <v>13</v>
      </c>
      <c r="C112" s="7" t="s">
        <v>9</v>
      </c>
      <c r="D112" s="8">
        <f>170*0.4*0.1</f>
        <v>6.8000000000000007</v>
      </c>
      <c r="E112" s="9"/>
      <c r="F112" s="10">
        <f t="shared" si="8"/>
        <v>0</v>
      </c>
    </row>
    <row r="113" spans="1:6" ht="29" x14ac:dyDescent="0.35">
      <c r="A113" s="24">
        <v>10.5</v>
      </c>
      <c r="B113" s="6" t="s">
        <v>14</v>
      </c>
      <c r="C113" s="7" t="s">
        <v>9</v>
      </c>
      <c r="D113" s="8">
        <f>170*0.4*0.05</f>
        <v>3.4000000000000004</v>
      </c>
      <c r="E113" s="9"/>
      <c r="F113" s="10">
        <f t="shared" si="8"/>
        <v>0</v>
      </c>
    </row>
    <row r="114" spans="1:6" x14ac:dyDescent="0.35">
      <c r="A114" s="5">
        <v>10.6</v>
      </c>
      <c r="B114" s="6" t="s">
        <v>15</v>
      </c>
      <c r="C114" s="7" t="s">
        <v>16</v>
      </c>
      <c r="D114" s="8">
        <f>170*0.5*2</f>
        <v>170</v>
      </c>
      <c r="E114" s="9"/>
      <c r="F114" s="10">
        <f t="shared" si="8"/>
        <v>0</v>
      </c>
    </row>
    <row r="115" spans="1:6" ht="29" x14ac:dyDescent="0.35">
      <c r="A115" s="24">
        <v>10.7</v>
      </c>
      <c r="B115" s="6" t="s">
        <v>17</v>
      </c>
      <c r="C115" s="7" t="s">
        <v>11</v>
      </c>
      <c r="D115" s="11">
        <f>0.45*170*2</f>
        <v>153</v>
      </c>
      <c r="E115" s="9"/>
      <c r="F115" s="10">
        <f t="shared" si="8"/>
        <v>0</v>
      </c>
    </row>
    <row r="116" spans="1:6" s="19" customFormat="1" ht="58" x14ac:dyDescent="0.35">
      <c r="A116" s="5">
        <v>10.8</v>
      </c>
      <c r="B116" s="6" t="s">
        <v>58</v>
      </c>
      <c r="C116" s="7" t="s">
        <v>9</v>
      </c>
      <c r="D116" s="8">
        <f>1.4*0.1*3</f>
        <v>0.41999999999999993</v>
      </c>
      <c r="E116" s="9"/>
      <c r="F116" s="10">
        <f t="shared" si="8"/>
        <v>0</v>
      </c>
    </row>
    <row r="117" spans="1:6" ht="58" x14ac:dyDescent="0.35">
      <c r="A117" s="24">
        <v>10.9</v>
      </c>
      <c r="B117" s="6" t="s">
        <v>59</v>
      </c>
      <c r="C117" s="7" t="s">
        <v>9</v>
      </c>
      <c r="D117" s="8">
        <f>1.4*0.15*26</f>
        <v>5.46</v>
      </c>
      <c r="E117" s="9"/>
      <c r="F117" s="10">
        <f t="shared" si="8"/>
        <v>0</v>
      </c>
    </row>
    <row r="118" spans="1:6" ht="29" x14ac:dyDescent="0.35">
      <c r="A118" s="23">
        <v>10.1</v>
      </c>
      <c r="B118" s="6" t="s">
        <v>27</v>
      </c>
      <c r="C118" s="7" t="s">
        <v>3</v>
      </c>
      <c r="D118" s="8">
        <v>1</v>
      </c>
      <c r="E118" s="9"/>
      <c r="F118" s="10">
        <f t="shared" si="8"/>
        <v>0</v>
      </c>
    </row>
    <row r="119" spans="1:6" ht="24" customHeight="1" thickBot="1" x14ac:dyDescent="0.4">
      <c r="A119" s="30" t="s">
        <v>67</v>
      </c>
      <c r="B119" s="31"/>
      <c r="C119" s="31"/>
      <c r="D119" s="31"/>
      <c r="E119" s="32"/>
      <c r="F119" s="13">
        <f>SUM(F109:F118)</f>
        <v>0</v>
      </c>
    </row>
    <row r="120" spans="1:6" s="19" customFormat="1" ht="15" thickBot="1" x14ac:dyDescent="0.4">
      <c r="A120" s="17" t="s">
        <v>72</v>
      </c>
      <c r="B120" s="42" t="s">
        <v>60</v>
      </c>
      <c r="C120" s="43"/>
      <c r="D120" s="43"/>
      <c r="E120" s="43"/>
      <c r="F120" s="44"/>
    </row>
    <row r="121" spans="1:6" s="20" customFormat="1" ht="26" x14ac:dyDescent="0.35">
      <c r="A121" s="2" t="s">
        <v>1</v>
      </c>
      <c r="B121" s="3" t="s">
        <v>2</v>
      </c>
      <c r="C121" s="3" t="s">
        <v>3</v>
      </c>
      <c r="D121" s="3" t="s">
        <v>4</v>
      </c>
      <c r="E121" s="3" t="s">
        <v>5</v>
      </c>
      <c r="F121" s="4" t="s">
        <v>6</v>
      </c>
    </row>
    <row r="122" spans="1:6" s="20" customFormat="1" x14ac:dyDescent="0.35">
      <c r="A122" s="36" t="s">
        <v>61</v>
      </c>
      <c r="B122" s="37"/>
      <c r="C122" s="37"/>
      <c r="D122" s="37"/>
      <c r="E122" s="37"/>
      <c r="F122" s="38"/>
    </row>
    <row r="123" spans="1:6" s="19" customFormat="1" ht="43.5" x14ac:dyDescent="0.35">
      <c r="A123" s="5">
        <v>11.1</v>
      </c>
      <c r="B123" s="6" t="s">
        <v>94</v>
      </c>
      <c r="C123" s="7" t="s">
        <v>9</v>
      </c>
      <c r="D123" s="12">
        <f>ROUND(160*1.3*0.5, 1)</f>
        <v>104</v>
      </c>
      <c r="E123" s="9"/>
      <c r="F123" s="10">
        <f>D123*E123</f>
        <v>0</v>
      </c>
    </row>
    <row r="124" spans="1:6" s="19" customFormat="1" ht="29" x14ac:dyDescent="0.35">
      <c r="A124" s="5">
        <v>11.2</v>
      </c>
      <c r="B124" s="6" t="s">
        <v>10</v>
      </c>
      <c r="C124" s="7" t="s">
        <v>11</v>
      </c>
      <c r="D124" s="12">
        <f>ROUND(160*1.2,1)</f>
        <v>192</v>
      </c>
      <c r="E124" s="9"/>
      <c r="F124" s="10">
        <f t="shared" ref="F124:F131" si="9">D124*E124</f>
        <v>0</v>
      </c>
    </row>
    <row r="125" spans="1:6" s="19" customFormat="1" ht="29" x14ac:dyDescent="0.35">
      <c r="A125" s="5">
        <v>11.3</v>
      </c>
      <c r="B125" s="6" t="s">
        <v>12</v>
      </c>
      <c r="C125" s="7" t="s">
        <v>9</v>
      </c>
      <c r="D125" s="12">
        <f>160*0.4*0.5*2</f>
        <v>64</v>
      </c>
      <c r="E125" s="9"/>
      <c r="F125" s="10">
        <f t="shared" si="9"/>
        <v>0</v>
      </c>
    </row>
    <row r="126" spans="1:6" s="19" customFormat="1" ht="29" x14ac:dyDescent="0.35">
      <c r="A126" s="5">
        <v>11.4</v>
      </c>
      <c r="B126" s="6" t="s">
        <v>13</v>
      </c>
      <c r="C126" s="7" t="s">
        <v>9</v>
      </c>
      <c r="D126" s="8">
        <f>ROUND(160*0.4*0.1,1)</f>
        <v>6.4</v>
      </c>
      <c r="E126" s="9"/>
      <c r="F126" s="10">
        <f t="shared" si="9"/>
        <v>0</v>
      </c>
    </row>
    <row r="127" spans="1:6" s="19" customFormat="1" ht="29" x14ac:dyDescent="0.35">
      <c r="A127" s="5">
        <v>11.5</v>
      </c>
      <c r="B127" s="6" t="s">
        <v>14</v>
      </c>
      <c r="C127" s="7" t="s">
        <v>9</v>
      </c>
      <c r="D127" s="12">
        <f>ROUND(160*0.4*0.05,1)</f>
        <v>3.2</v>
      </c>
      <c r="E127" s="9"/>
      <c r="F127" s="10">
        <f t="shared" si="9"/>
        <v>0</v>
      </c>
    </row>
    <row r="128" spans="1:6" s="19" customFormat="1" x14ac:dyDescent="0.35">
      <c r="A128" s="5">
        <v>11.6</v>
      </c>
      <c r="B128" s="6" t="s">
        <v>15</v>
      </c>
      <c r="C128" s="7" t="s">
        <v>16</v>
      </c>
      <c r="D128" s="12">
        <f>160*0.4*2</f>
        <v>128</v>
      </c>
      <c r="E128" s="9"/>
      <c r="F128" s="10">
        <f t="shared" si="9"/>
        <v>0</v>
      </c>
    </row>
    <row r="129" spans="1:6" s="19" customFormat="1" ht="29" x14ac:dyDescent="0.35">
      <c r="A129" s="5">
        <v>11.7</v>
      </c>
      <c r="B129" s="6" t="s">
        <v>17</v>
      </c>
      <c r="C129" s="7" t="s">
        <v>11</v>
      </c>
      <c r="D129" s="12">
        <f>0.45*160*2</f>
        <v>144</v>
      </c>
      <c r="E129" s="9"/>
      <c r="F129" s="10">
        <f t="shared" si="9"/>
        <v>0</v>
      </c>
    </row>
    <row r="130" spans="1:6" s="19" customFormat="1" ht="58" x14ac:dyDescent="0.35">
      <c r="A130" s="5">
        <v>11.8</v>
      </c>
      <c r="B130" s="6" t="s">
        <v>58</v>
      </c>
      <c r="C130" s="7" t="s">
        <v>9</v>
      </c>
      <c r="D130" s="8">
        <f>ROUND(1.4*0.1*3,1)</f>
        <v>0.4</v>
      </c>
      <c r="E130" s="9"/>
      <c r="F130" s="10">
        <f t="shared" si="9"/>
        <v>0</v>
      </c>
    </row>
    <row r="131" spans="1:6" ht="58" x14ac:dyDescent="0.35">
      <c r="A131" s="5">
        <v>11.9</v>
      </c>
      <c r="B131" s="6" t="s">
        <v>62</v>
      </c>
      <c r="C131" s="7" t="s">
        <v>9</v>
      </c>
      <c r="D131" s="8">
        <f>1.4*0.15*13</f>
        <v>2.73</v>
      </c>
      <c r="E131" s="9"/>
      <c r="F131" s="10">
        <f t="shared" si="9"/>
        <v>0</v>
      </c>
    </row>
    <row r="132" spans="1:6" s="22" customFormat="1" ht="32.5" customHeight="1" thickBot="1" x14ac:dyDescent="0.4">
      <c r="A132" s="30" t="s">
        <v>73</v>
      </c>
      <c r="B132" s="31"/>
      <c r="C132" s="31"/>
      <c r="D132" s="31"/>
      <c r="E132" s="32"/>
      <c r="F132" s="13">
        <f>SUM(F123:F131)</f>
        <v>0</v>
      </c>
    </row>
    <row r="133" spans="1:6" ht="15" thickBot="1" x14ac:dyDescent="0.4">
      <c r="A133" s="17" t="s">
        <v>74</v>
      </c>
      <c r="B133" s="33" t="s">
        <v>78</v>
      </c>
      <c r="C133" s="34"/>
      <c r="D133" s="34"/>
      <c r="E133" s="34"/>
      <c r="F133" s="35"/>
    </row>
    <row r="134" spans="1:6" ht="26" x14ac:dyDescent="0.35">
      <c r="A134" s="2" t="s">
        <v>1</v>
      </c>
      <c r="B134" s="3" t="s">
        <v>2</v>
      </c>
      <c r="C134" s="3" t="s">
        <v>3</v>
      </c>
      <c r="D134" s="3" t="s">
        <v>4</v>
      </c>
      <c r="E134" s="3" t="s">
        <v>5</v>
      </c>
      <c r="F134" s="4" t="s">
        <v>6</v>
      </c>
    </row>
    <row r="135" spans="1:6" x14ac:dyDescent="0.35">
      <c r="A135" s="36" t="s">
        <v>79</v>
      </c>
      <c r="B135" s="37"/>
      <c r="C135" s="37"/>
      <c r="D135" s="37"/>
      <c r="E135" s="37"/>
      <c r="F135" s="38"/>
    </row>
    <row r="136" spans="1:6" ht="72.5" x14ac:dyDescent="0.35">
      <c r="A136" s="5">
        <v>12.1</v>
      </c>
      <c r="B136" s="6" t="s">
        <v>93</v>
      </c>
      <c r="C136" s="7" t="s">
        <v>9</v>
      </c>
      <c r="D136" s="25">
        <f>720*1.7*0.9</f>
        <v>1101.6000000000001</v>
      </c>
      <c r="E136" s="9"/>
      <c r="F136" s="10">
        <f>D136*E136</f>
        <v>0</v>
      </c>
    </row>
    <row r="137" spans="1:6" ht="29" x14ac:dyDescent="0.35">
      <c r="A137" s="5">
        <v>12.2</v>
      </c>
      <c r="B137" s="6" t="s">
        <v>10</v>
      </c>
      <c r="C137" s="7" t="s">
        <v>11</v>
      </c>
      <c r="D137" s="25">
        <f>720*1.5</f>
        <v>1080</v>
      </c>
      <c r="E137" s="9"/>
      <c r="F137" s="10">
        <f t="shared" ref="F137:F145" si="10">D137*E137</f>
        <v>0</v>
      </c>
    </row>
    <row r="138" spans="1:6" ht="29" x14ac:dyDescent="0.35">
      <c r="A138" s="5">
        <v>12.3</v>
      </c>
      <c r="B138" s="6" t="s">
        <v>12</v>
      </c>
      <c r="C138" s="7" t="s">
        <v>9</v>
      </c>
      <c r="D138" s="8">
        <f>720*0.4*0.9*2</f>
        <v>518.4</v>
      </c>
      <c r="E138" s="9"/>
      <c r="F138" s="10">
        <f t="shared" si="10"/>
        <v>0</v>
      </c>
    </row>
    <row r="139" spans="1:6" ht="29" x14ac:dyDescent="0.35">
      <c r="A139" s="5">
        <v>12.4</v>
      </c>
      <c r="B139" s="6" t="s">
        <v>13</v>
      </c>
      <c r="C139" s="7" t="s">
        <v>9</v>
      </c>
      <c r="D139" s="8">
        <f>720*0.7*0.1</f>
        <v>50.4</v>
      </c>
      <c r="E139" s="9"/>
      <c r="F139" s="10">
        <f t="shared" si="10"/>
        <v>0</v>
      </c>
    </row>
    <row r="140" spans="1:6" ht="29" x14ac:dyDescent="0.35">
      <c r="A140" s="5">
        <v>12.5</v>
      </c>
      <c r="B140" s="6" t="s">
        <v>14</v>
      </c>
      <c r="C140" s="7" t="s">
        <v>9</v>
      </c>
      <c r="D140" s="8">
        <f>720*0.7*0.05</f>
        <v>25.2</v>
      </c>
      <c r="E140" s="9"/>
      <c r="F140" s="10">
        <f t="shared" si="10"/>
        <v>0</v>
      </c>
    </row>
    <row r="141" spans="1:6" x14ac:dyDescent="0.35">
      <c r="A141" s="5">
        <v>12.6</v>
      </c>
      <c r="B141" s="6" t="s">
        <v>15</v>
      </c>
      <c r="C141" s="7" t="s">
        <v>16</v>
      </c>
      <c r="D141" s="8">
        <f>720*0.5*2</f>
        <v>720</v>
      </c>
      <c r="E141" s="9"/>
      <c r="F141" s="10">
        <f t="shared" si="10"/>
        <v>0</v>
      </c>
    </row>
    <row r="142" spans="1:6" ht="29" x14ac:dyDescent="0.35">
      <c r="A142" s="5">
        <v>12.7</v>
      </c>
      <c r="B142" s="6" t="s">
        <v>17</v>
      </c>
      <c r="C142" s="7" t="s">
        <v>11</v>
      </c>
      <c r="D142" s="12">
        <f>0.45*720*2</f>
        <v>648</v>
      </c>
      <c r="E142" s="9"/>
      <c r="F142" s="10">
        <f t="shared" si="10"/>
        <v>0</v>
      </c>
    </row>
    <row r="143" spans="1:6" ht="58" x14ac:dyDescent="0.35">
      <c r="A143" s="5">
        <v>12.8</v>
      </c>
      <c r="B143" s="6" t="s">
        <v>75</v>
      </c>
      <c r="C143" s="7" t="s">
        <v>9</v>
      </c>
      <c r="D143" s="8">
        <f>1.7*0.1*10</f>
        <v>1.7000000000000002</v>
      </c>
      <c r="E143" s="9"/>
      <c r="F143" s="10">
        <f t="shared" si="10"/>
        <v>0</v>
      </c>
    </row>
    <row r="144" spans="1:6" ht="58" x14ac:dyDescent="0.35">
      <c r="A144" s="5">
        <v>12.9</v>
      </c>
      <c r="B144" s="6" t="s">
        <v>76</v>
      </c>
      <c r="C144" s="7" t="s">
        <v>9</v>
      </c>
      <c r="D144" s="12">
        <f>ROUND(1.7*0.15*30,1)</f>
        <v>7.7</v>
      </c>
      <c r="E144" s="9"/>
      <c r="F144" s="10">
        <f t="shared" si="10"/>
        <v>0</v>
      </c>
    </row>
    <row r="145" spans="1:6" ht="29" x14ac:dyDescent="0.35">
      <c r="A145" s="23">
        <v>12.1</v>
      </c>
      <c r="B145" s="6" t="s">
        <v>80</v>
      </c>
      <c r="C145" s="7" t="s">
        <v>3</v>
      </c>
      <c r="D145" s="8">
        <v>2</v>
      </c>
      <c r="E145" s="9"/>
      <c r="F145" s="10">
        <f t="shared" si="10"/>
        <v>0</v>
      </c>
    </row>
    <row r="146" spans="1:6" ht="30.5" customHeight="1" thickBot="1" x14ac:dyDescent="0.4">
      <c r="A146" s="30" t="s">
        <v>77</v>
      </c>
      <c r="B146" s="31"/>
      <c r="C146" s="31"/>
      <c r="D146" s="31"/>
      <c r="E146" s="32"/>
      <c r="F146" s="13">
        <f>SUM(F136:F145)</f>
        <v>0</v>
      </c>
    </row>
    <row r="147" spans="1:6" ht="15" thickBot="1" x14ac:dyDescent="0.4">
      <c r="A147" s="17" t="s">
        <v>74</v>
      </c>
      <c r="B147" s="39" t="s">
        <v>82</v>
      </c>
      <c r="C147" s="40"/>
      <c r="D147" s="40"/>
      <c r="E147" s="40"/>
      <c r="F147" s="41"/>
    </row>
    <row r="148" spans="1:6" ht="26" x14ac:dyDescent="0.35">
      <c r="A148" s="2" t="s">
        <v>1</v>
      </c>
      <c r="B148" s="3" t="s">
        <v>2</v>
      </c>
      <c r="C148" s="3" t="s">
        <v>3</v>
      </c>
      <c r="D148" s="3" t="s">
        <v>4</v>
      </c>
      <c r="E148" s="3" t="s">
        <v>5</v>
      </c>
      <c r="F148" s="4" t="s">
        <v>6</v>
      </c>
    </row>
    <row r="149" spans="1:6" ht="14.5" customHeight="1" x14ac:dyDescent="0.35">
      <c r="A149" s="36" t="s">
        <v>81</v>
      </c>
      <c r="B149" s="37"/>
      <c r="C149" s="37"/>
      <c r="D149" s="37"/>
      <c r="E149" s="37"/>
      <c r="F149" s="38"/>
    </row>
    <row r="150" spans="1:6" ht="79" customHeight="1" x14ac:dyDescent="0.35">
      <c r="A150" s="5">
        <v>13.1</v>
      </c>
      <c r="B150" s="6" t="s">
        <v>92</v>
      </c>
      <c r="C150" s="7" t="s">
        <v>9</v>
      </c>
      <c r="D150" s="8">
        <f>470*1.4*0.7</f>
        <v>460.59999999999997</v>
      </c>
      <c r="E150" s="9"/>
      <c r="F150" s="10">
        <f>D150*E150</f>
        <v>0</v>
      </c>
    </row>
    <row r="151" spans="1:6" ht="29" x14ac:dyDescent="0.35">
      <c r="A151" s="5">
        <v>13.2</v>
      </c>
      <c r="B151" s="6" t="s">
        <v>10</v>
      </c>
      <c r="C151" s="7" t="s">
        <v>11</v>
      </c>
      <c r="D151" s="8">
        <f>470*1.4</f>
        <v>658</v>
      </c>
      <c r="E151" s="9"/>
      <c r="F151" s="10">
        <f t="shared" ref="F151:F159" si="11">D151*E151</f>
        <v>0</v>
      </c>
    </row>
    <row r="152" spans="1:6" ht="29" x14ac:dyDescent="0.35">
      <c r="A152" s="5">
        <v>13.3</v>
      </c>
      <c r="B152" s="6" t="s">
        <v>12</v>
      </c>
      <c r="C152" s="7" t="s">
        <v>9</v>
      </c>
      <c r="D152" s="12">
        <f>470*0.4*0.8*2</f>
        <v>300.8</v>
      </c>
      <c r="E152" s="9"/>
      <c r="F152" s="10">
        <f t="shared" si="11"/>
        <v>0</v>
      </c>
    </row>
    <row r="153" spans="1:6" ht="29" x14ac:dyDescent="0.35">
      <c r="A153" s="5">
        <v>13.4</v>
      </c>
      <c r="B153" s="6" t="s">
        <v>13</v>
      </c>
      <c r="C153" s="7" t="s">
        <v>9</v>
      </c>
      <c r="D153" s="12">
        <f>470*0.4*0.1</f>
        <v>18.8</v>
      </c>
      <c r="E153" s="9"/>
      <c r="F153" s="10">
        <f t="shared" si="11"/>
        <v>0</v>
      </c>
    </row>
    <row r="154" spans="1:6" ht="29" x14ac:dyDescent="0.35">
      <c r="A154" s="5">
        <v>13.5</v>
      </c>
      <c r="B154" s="6" t="s">
        <v>14</v>
      </c>
      <c r="C154" s="7" t="s">
        <v>9</v>
      </c>
      <c r="D154" s="12">
        <f>470*0.4*0.05</f>
        <v>9.4</v>
      </c>
      <c r="E154" s="9"/>
      <c r="F154" s="10">
        <f t="shared" si="11"/>
        <v>0</v>
      </c>
    </row>
    <row r="155" spans="1:6" x14ac:dyDescent="0.35">
      <c r="A155" s="5">
        <v>13.6</v>
      </c>
      <c r="B155" s="6" t="s">
        <v>15</v>
      </c>
      <c r="C155" s="7" t="s">
        <v>16</v>
      </c>
      <c r="D155" s="8">
        <f>470*0.5*2</f>
        <v>470</v>
      </c>
      <c r="E155" s="9"/>
      <c r="F155" s="10">
        <f t="shared" si="11"/>
        <v>0</v>
      </c>
    </row>
    <row r="156" spans="1:6" ht="29" x14ac:dyDescent="0.35">
      <c r="A156" s="5">
        <v>13.7</v>
      </c>
      <c r="B156" s="6" t="s">
        <v>17</v>
      </c>
      <c r="C156" s="7" t="s">
        <v>11</v>
      </c>
      <c r="D156" s="12">
        <f>0.45*470*2</f>
        <v>423</v>
      </c>
      <c r="E156" s="9"/>
      <c r="F156" s="10">
        <f t="shared" si="11"/>
        <v>0</v>
      </c>
    </row>
    <row r="157" spans="1:6" ht="58" x14ac:dyDescent="0.35">
      <c r="A157" s="5">
        <v>13.8</v>
      </c>
      <c r="B157" s="6" t="s">
        <v>83</v>
      </c>
      <c r="C157" s="7" t="s">
        <v>9</v>
      </c>
      <c r="D157" s="8">
        <f>1.4*0.1*8</f>
        <v>1.1199999999999999</v>
      </c>
      <c r="E157" s="9"/>
      <c r="F157" s="10">
        <f t="shared" si="11"/>
        <v>0</v>
      </c>
    </row>
    <row r="158" spans="1:6" ht="58" x14ac:dyDescent="0.35">
      <c r="A158" s="5">
        <v>13.9</v>
      </c>
      <c r="B158" s="6" t="s">
        <v>62</v>
      </c>
      <c r="C158" s="7" t="s">
        <v>9</v>
      </c>
      <c r="D158" s="12">
        <f>ROUND(1.4*0.15*12,1)</f>
        <v>2.5</v>
      </c>
      <c r="E158" s="9"/>
      <c r="F158" s="10">
        <f t="shared" si="11"/>
        <v>0</v>
      </c>
    </row>
    <row r="159" spans="1:6" ht="29" x14ac:dyDescent="0.35">
      <c r="A159" s="23">
        <v>13.1</v>
      </c>
      <c r="B159" s="6" t="s">
        <v>27</v>
      </c>
      <c r="C159" s="7" t="s">
        <v>3</v>
      </c>
      <c r="D159" s="8">
        <v>2</v>
      </c>
      <c r="E159" s="9"/>
      <c r="F159" s="10">
        <f t="shared" si="11"/>
        <v>0</v>
      </c>
    </row>
    <row r="160" spans="1:6" ht="29.5" customHeight="1" thickBot="1" x14ac:dyDescent="0.4">
      <c r="A160" s="30" t="s">
        <v>84</v>
      </c>
      <c r="B160" s="31"/>
      <c r="C160" s="31"/>
      <c r="D160" s="31"/>
      <c r="E160" s="32"/>
      <c r="F160" s="13">
        <f>SUM(F150:F159)</f>
        <v>0</v>
      </c>
    </row>
    <row r="161" spans="1:6" ht="16" thickBot="1" x14ac:dyDescent="0.4">
      <c r="A161" s="16"/>
      <c r="B161" s="16"/>
      <c r="C161" s="16"/>
      <c r="D161" s="16"/>
      <c r="E161" s="16"/>
      <c r="F161" s="16"/>
    </row>
    <row r="162" spans="1:6" ht="31" x14ac:dyDescent="0.35">
      <c r="A162" s="26" t="s">
        <v>38</v>
      </c>
      <c r="B162" s="45" t="s">
        <v>89</v>
      </c>
      <c r="C162" s="46"/>
      <c r="D162" s="46"/>
      <c r="E162" s="47"/>
      <c r="F162" s="27" t="s">
        <v>39</v>
      </c>
    </row>
    <row r="163" spans="1:6" ht="22" customHeight="1" x14ac:dyDescent="0.35">
      <c r="A163" s="28">
        <v>1</v>
      </c>
      <c r="B163" s="66" t="s">
        <v>86</v>
      </c>
      <c r="C163" s="67"/>
      <c r="D163" s="67"/>
      <c r="E163" s="68"/>
      <c r="F163" s="29">
        <f>F7</f>
        <v>0</v>
      </c>
    </row>
    <row r="164" spans="1:6" ht="22" customHeight="1" x14ac:dyDescent="0.35">
      <c r="A164" s="28">
        <v>2</v>
      </c>
      <c r="B164" s="66" t="str">
        <f>B8</f>
        <v>Section: (390m) OF DRAINAGE IN VILLAGE 05 FROM DEPARTURE CENTRE ALONG THE ROAD TO THE RIVER</v>
      </c>
      <c r="C164" s="67"/>
      <c r="D164" s="67"/>
      <c r="E164" s="68"/>
      <c r="F164" s="29">
        <f>F20</f>
        <v>0</v>
      </c>
    </row>
    <row r="165" spans="1:6" ht="22" customHeight="1" x14ac:dyDescent="0.35">
      <c r="A165" s="28">
        <v>3</v>
      </c>
      <c r="B165" s="66" t="str">
        <f>B21</f>
        <v>Section: (220m) IN V02C02-V03C27 CONNECTING TO EXISTING DRAINAGE</v>
      </c>
      <c r="C165" s="67"/>
      <c r="D165" s="67"/>
      <c r="E165" s="68"/>
      <c r="F165" s="29">
        <f>F34</f>
        <v>0</v>
      </c>
    </row>
    <row r="166" spans="1:6" ht="22" customHeight="1" x14ac:dyDescent="0.35">
      <c r="A166" s="28">
        <v>4</v>
      </c>
      <c r="B166" s="66" t="str">
        <f>B35</f>
        <v>Section: (150m) IN V01C18-C13 FROM MAIN ROAD CONNECTING TO EXISTING DRAINAGE AT MARKET 1</v>
      </c>
      <c r="C166" s="67"/>
      <c r="D166" s="67"/>
      <c r="E166" s="68"/>
      <c r="F166" s="29">
        <f>F47</f>
        <v>0</v>
      </c>
    </row>
    <row r="167" spans="1:6" ht="22" customHeight="1" x14ac:dyDescent="0.35">
      <c r="A167" s="28">
        <v>5</v>
      </c>
      <c r="B167" s="66" t="str">
        <f>B48</f>
        <v>Section: (190m) IN VILLAGE 11C33 AT GAZ DISTRIBUTION UP TO DRAINAGE AT CTC FACILITIES</v>
      </c>
      <c r="C167" s="67"/>
      <c r="D167" s="67"/>
      <c r="E167" s="68"/>
      <c r="F167" s="29">
        <f>F61</f>
        <v>0</v>
      </c>
    </row>
    <row r="168" spans="1:6" ht="30" customHeight="1" x14ac:dyDescent="0.35">
      <c r="A168" s="28">
        <v>6</v>
      </c>
      <c r="B168" s="66" t="str">
        <f>B62</f>
        <v>800m ENVIRONMENTAL RESTORATION &amp; BACKFILLING OF A SMALL GULLY ALONG THE ROAD FROM CAMP ENTRANCE TO VILLAGE 04</v>
      </c>
      <c r="C168" s="67"/>
      <c r="D168" s="67"/>
      <c r="E168" s="68"/>
      <c r="F168" s="29">
        <f>F66</f>
        <v>0</v>
      </c>
    </row>
    <row r="169" spans="1:6" ht="22" customHeight="1" x14ac:dyDescent="0.35">
      <c r="A169" s="28">
        <v>7</v>
      </c>
      <c r="B169" s="66" t="str">
        <f>B67</f>
        <v>Section: (180m) FROM VILLAGE 16-V17 CONNECTING TO EXISTING DRAINAGE NEAR THE MOSQUE</v>
      </c>
      <c r="C169" s="67"/>
      <c r="D169" s="67"/>
      <c r="E169" s="68"/>
      <c r="F169" s="29">
        <f>F78</f>
        <v>0</v>
      </c>
    </row>
    <row r="170" spans="1:6" ht="22" customHeight="1" x14ac:dyDescent="0.35">
      <c r="A170" s="28">
        <v>8</v>
      </c>
      <c r="B170" s="66" t="str">
        <f>B79</f>
        <v>Section: (220m) BETWEEN VILLAGE 17 &amp; V18 FROM EXISTING DRAINAGE AT THE MOSQUE</v>
      </c>
      <c r="C170" s="67"/>
      <c r="D170" s="67"/>
      <c r="E170" s="68"/>
      <c r="F170" s="29">
        <f>F93</f>
        <v>0</v>
      </c>
    </row>
    <row r="171" spans="1:6" ht="22" customHeight="1" x14ac:dyDescent="0.35">
      <c r="A171" s="28">
        <v>9</v>
      </c>
      <c r="B171" s="66" t="str">
        <f>B94</f>
        <v>Section: (340m) OF DRAINAGE BELOW VILLAGE 18 AS DELIMITATION BETWEEN SHELTERS &amp; FARMLAND</v>
      </c>
      <c r="C171" s="67"/>
      <c r="D171" s="67"/>
      <c r="E171" s="68"/>
      <c r="F171" s="29">
        <f>F105</f>
        <v>0</v>
      </c>
    </row>
    <row r="172" spans="1:6" ht="22" customHeight="1" x14ac:dyDescent="0.35">
      <c r="A172" s="28">
        <v>10</v>
      </c>
      <c r="B172" s="66" t="str">
        <f>B106</f>
        <v>Section: (170m) BETWEEN VILLAGE 08 AND V17, ALONG THE ACCESS ROAD</v>
      </c>
      <c r="C172" s="67"/>
      <c r="D172" s="67"/>
      <c r="E172" s="68"/>
      <c r="F172" s="29">
        <f>F119</f>
        <v>0</v>
      </c>
    </row>
    <row r="173" spans="1:6" ht="22" customHeight="1" x14ac:dyDescent="0.35">
      <c r="A173" s="28">
        <v>11</v>
      </c>
      <c r="B173" s="66" t="str">
        <f>B120</f>
        <v>Section: (160m) BETWEEN VILLAGE 05 AND THE MARKETPLACE, UPPERSIDE OF THE ACCESS ROAD</v>
      </c>
      <c r="C173" s="67"/>
      <c r="D173" s="67"/>
      <c r="E173" s="68"/>
      <c r="F173" s="29">
        <f>F132</f>
        <v>0</v>
      </c>
    </row>
    <row r="174" spans="1:6" ht="22" customHeight="1" x14ac:dyDescent="0.35">
      <c r="A174" s="28">
        <v>12</v>
      </c>
      <c r="B174" s="66" t="str">
        <f>B133</f>
        <v>Section: (720m) OF DRAINAGE IN NEW EXTENSION OF VILLAGE 16 &amp; V17 TOWARDS LOW LANDS</v>
      </c>
      <c r="C174" s="67"/>
      <c r="D174" s="67"/>
      <c r="E174" s="68"/>
      <c r="F174" s="29">
        <f>F146</f>
        <v>0</v>
      </c>
    </row>
    <row r="175" spans="1:6" ht="22" customHeight="1" x14ac:dyDescent="0.35">
      <c r="A175" s="28">
        <v>13</v>
      </c>
      <c r="B175" s="66" t="str">
        <f>B147</f>
        <v>Section: (470m) IN VILLAGE 18 AT AREA OF EXTENSION AND BELOW GRAVEYARD</v>
      </c>
      <c r="C175" s="67"/>
      <c r="D175" s="67"/>
      <c r="E175" s="68"/>
      <c r="F175" s="29">
        <f>F160</f>
        <v>0</v>
      </c>
    </row>
    <row r="176" spans="1:6" ht="21" x14ac:dyDescent="0.35">
      <c r="A176" s="69" t="s">
        <v>109</v>
      </c>
      <c r="B176" s="70"/>
      <c r="C176" s="70"/>
      <c r="D176" s="70"/>
      <c r="E176" s="71"/>
      <c r="F176" s="72">
        <f>SUM(F163:F175)</f>
        <v>0</v>
      </c>
    </row>
    <row r="177" spans="1:6" ht="21" x14ac:dyDescent="0.35">
      <c r="A177" s="69" t="s">
        <v>110</v>
      </c>
      <c r="B177" s="70"/>
      <c r="C177" s="70"/>
      <c r="D177" s="70"/>
      <c r="E177" s="71"/>
      <c r="F177" s="72"/>
    </row>
    <row r="178" spans="1:6" ht="49.5" customHeight="1" x14ac:dyDescent="0.35">
      <c r="A178" s="73" t="s">
        <v>106</v>
      </c>
      <c r="B178" s="74" t="s">
        <v>107</v>
      </c>
      <c r="C178" s="74"/>
      <c r="D178" s="74"/>
      <c r="E178" s="75" t="s">
        <v>108</v>
      </c>
      <c r="F178" s="76"/>
    </row>
    <row r="179" spans="1:6" ht="64" customHeight="1" thickBot="1" x14ac:dyDescent="0.4">
      <c r="A179" s="77"/>
      <c r="B179" s="78"/>
      <c r="C179" s="78"/>
      <c r="D179" s="78"/>
      <c r="E179" s="79"/>
      <c r="F179" s="80"/>
    </row>
  </sheetData>
  <mergeCells count="59">
    <mergeCell ref="A176:E176"/>
    <mergeCell ref="A177:E177"/>
    <mergeCell ref="B178:D178"/>
    <mergeCell ref="E178:F178"/>
    <mergeCell ref="B179:D179"/>
    <mergeCell ref="E179:F179"/>
    <mergeCell ref="A7:E7"/>
    <mergeCell ref="B165:E165"/>
    <mergeCell ref="B166:E166"/>
    <mergeCell ref="B167:E167"/>
    <mergeCell ref="B168:E168"/>
    <mergeCell ref="B164:E164"/>
    <mergeCell ref="A23:F23"/>
    <mergeCell ref="A34:E34"/>
    <mergeCell ref="B35:F35"/>
    <mergeCell ref="A37:F37"/>
    <mergeCell ref="A47:E47"/>
    <mergeCell ref="B48:F48"/>
    <mergeCell ref="A4:F4"/>
    <mergeCell ref="A96:F96"/>
    <mergeCell ref="A105:E105"/>
    <mergeCell ref="B106:F106"/>
    <mergeCell ref="A108:F108"/>
    <mergeCell ref="B163:E163"/>
    <mergeCell ref="A2:F2"/>
    <mergeCell ref="B8:F8"/>
    <mergeCell ref="A10:F10"/>
    <mergeCell ref="A20:E20"/>
    <mergeCell ref="A3:F3"/>
    <mergeCell ref="A119:E119"/>
    <mergeCell ref="B120:F120"/>
    <mergeCell ref="A122:F122"/>
    <mergeCell ref="A132:E132"/>
    <mergeCell ref="B21:F21"/>
    <mergeCell ref="A50:F50"/>
    <mergeCell ref="A61:E61"/>
    <mergeCell ref="B62:F62"/>
    <mergeCell ref="A66:E66"/>
    <mergeCell ref="B67:F67"/>
    <mergeCell ref="A69:F69"/>
    <mergeCell ref="A78:E78"/>
    <mergeCell ref="B79:F79"/>
    <mergeCell ref="A81:F81"/>
    <mergeCell ref="A93:E93"/>
    <mergeCell ref="B94:F94"/>
    <mergeCell ref="B174:E174"/>
    <mergeCell ref="B175:E175"/>
    <mergeCell ref="A160:E160"/>
    <mergeCell ref="B133:F133"/>
    <mergeCell ref="A135:F135"/>
    <mergeCell ref="A146:E146"/>
    <mergeCell ref="B147:F147"/>
    <mergeCell ref="A149:F149"/>
    <mergeCell ref="B162:E162"/>
    <mergeCell ref="B169:E169"/>
    <mergeCell ref="B170:E170"/>
    <mergeCell ref="B171:E171"/>
    <mergeCell ref="B172:E172"/>
    <mergeCell ref="B173:E173"/>
  </mergeCells>
  <phoneticPr fontId="9" type="noConversion"/>
  <pageMargins left="0.7" right="0.7" top="0.75" bottom="0.75" header="0.3" footer="0.3"/>
  <pageSetup scale="52" orientation="portrait" r:id="rId1"/>
  <rowBreaks count="4" manualBreakCount="4">
    <brk id="34" max="16383" man="1"/>
    <brk id="66" max="16383" man="1"/>
    <brk id="105" max="16383" man="1"/>
    <brk id="14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Mahama Drainage_All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Vedaste Nshimiyimana</dc:creator>
  <cp:lastModifiedBy>Roland Fang Kum</cp:lastModifiedBy>
  <dcterms:created xsi:type="dcterms:W3CDTF">2024-08-05T10:19:25Z</dcterms:created>
  <dcterms:modified xsi:type="dcterms:W3CDTF">2024-08-26T10:39:47Z</dcterms:modified>
</cp:coreProperties>
</file>