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idibal\Desktop\IOM Maiduguri\2022\Shelter\Construction\May - August\All-inclusive Plot demarcation, Construction of Shelters and Latrines in Gombi LGA (BATCH 2)\"/>
    </mc:Choice>
  </mc:AlternateContent>
  <xr:revisionPtr revIDLastSave="0" documentId="13_ncr:1_{AFAC61E4-118A-495B-A755-EEFC590D6177}" xr6:coauthVersionLast="47" xr6:coauthVersionMax="47" xr10:uidLastSave="{00000000-0000-0000-0000-000000000000}"/>
  <bookViews>
    <workbookView xWindow="28680" yWindow="-120" windowWidth="29040" windowHeight="15840" activeTab="3" xr2:uid="{C924348F-5B6C-4DE8-8B3A-F5B7AA9C2105}"/>
  </bookViews>
  <sheets>
    <sheet name="Shelters (2)" sheetId="8" r:id="rId1"/>
    <sheet name="Plots (2)" sheetId="11" r:id="rId2"/>
    <sheet name="Latrine (2)" sheetId="14" r:id="rId3"/>
    <sheet name="Summary" sheetId="5" r:id="rId4"/>
    <sheet name="BOQ sandcrete" sheetId="4"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4" i="11" l="1"/>
  <c r="K13" i="11"/>
  <c r="J9" i="11"/>
  <c r="I9" i="11"/>
  <c r="H9" i="11"/>
  <c r="G9" i="11"/>
  <c r="F9" i="11"/>
  <c r="E9" i="11"/>
  <c r="D9" i="11"/>
  <c r="K9" i="11" s="1"/>
  <c r="J8" i="11"/>
  <c r="I8" i="11"/>
  <c r="H8" i="11"/>
  <c r="G8" i="11"/>
  <c r="F8" i="11"/>
  <c r="E8" i="11"/>
  <c r="D8" i="11"/>
  <c r="K8" i="11" s="1"/>
  <c r="J6" i="11"/>
  <c r="I6" i="11"/>
  <c r="H6" i="11"/>
  <c r="G6" i="11"/>
  <c r="F6" i="11"/>
  <c r="E6" i="11"/>
  <c r="D6" i="11"/>
  <c r="K6" i="11" s="1"/>
  <c r="F26" i="14"/>
  <c r="G26" i="14" s="1"/>
  <c r="F25" i="14"/>
  <c r="F24" i="14"/>
  <c r="G24" i="14" s="1"/>
  <c r="F23" i="14"/>
  <c r="F22" i="14"/>
  <c r="G22" i="14" s="1"/>
  <c r="D22" i="14"/>
  <c r="D21" i="14"/>
  <c r="F21" i="14" s="1"/>
  <c r="G21" i="14" s="1"/>
  <c r="D20" i="14"/>
  <c r="F20" i="14" s="1"/>
  <c r="G20" i="14" s="1"/>
  <c r="G19" i="14"/>
  <c r="F19" i="14"/>
  <c r="D19" i="14"/>
  <c r="D16" i="14"/>
  <c r="F16" i="14" s="1"/>
  <c r="G16" i="14" s="1"/>
  <c r="G15" i="14"/>
  <c r="F15" i="14"/>
  <c r="D15" i="14"/>
  <c r="F14" i="14"/>
  <c r="G14" i="14" s="1"/>
  <c r="D13" i="14"/>
  <c r="F13" i="14" s="1"/>
  <c r="G13" i="14" s="1"/>
  <c r="F12" i="14"/>
  <c r="G12" i="14" s="1"/>
  <c r="D12" i="14"/>
  <c r="F11" i="14"/>
  <c r="G11" i="14" s="1"/>
  <c r="D11" i="14"/>
  <c r="D10" i="14"/>
  <c r="F10" i="14" s="1"/>
  <c r="G10" i="14" s="1"/>
  <c r="D9" i="14"/>
  <c r="F9" i="14" s="1"/>
  <c r="G8" i="14"/>
  <c r="F8" i="14"/>
  <c r="D8" i="14"/>
  <c r="D5" i="14"/>
  <c r="F5" i="14" s="1"/>
  <c r="G4" i="14"/>
  <c r="F4" i="14"/>
  <c r="D4" i="14"/>
  <c r="I2" i="14"/>
  <c r="G25" i="14" s="1"/>
  <c r="N24" i="11"/>
  <c r="K24" i="11"/>
  <c r="N23" i="11"/>
  <c r="K23" i="11"/>
  <c r="N19" i="11"/>
  <c r="K19" i="11"/>
  <c r="M19" i="11" s="1"/>
  <c r="N18" i="11"/>
  <c r="K18" i="11"/>
  <c r="M18" i="11" s="1"/>
  <c r="N14" i="11"/>
  <c r="N13" i="11"/>
  <c r="J13" i="11"/>
  <c r="J14" i="11" s="1"/>
  <c r="I13" i="11"/>
  <c r="I14" i="11" s="1"/>
  <c r="H13" i="11"/>
  <c r="H14" i="11" s="1"/>
  <c r="G13" i="11"/>
  <c r="G14" i="11" s="1"/>
  <c r="F13" i="11"/>
  <c r="F14" i="11" s="1"/>
  <c r="E13" i="11"/>
  <c r="E14" i="11" s="1"/>
  <c r="D13" i="11"/>
  <c r="D14" i="11" s="1"/>
  <c r="N9" i="11"/>
  <c r="N8" i="11"/>
  <c r="N6" i="11"/>
  <c r="J45" i="8"/>
  <c r="F45" i="8"/>
  <c r="E45" i="8"/>
  <c r="G45" i="8" s="1"/>
  <c r="J44" i="8"/>
  <c r="F44" i="8"/>
  <c r="E44" i="8"/>
  <c r="G44" i="8" s="1"/>
  <c r="J43" i="8"/>
  <c r="F43" i="8"/>
  <c r="E43" i="8"/>
  <c r="J42" i="8"/>
  <c r="F42" i="8"/>
  <c r="E42" i="8"/>
  <c r="G42" i="8" s="1"/>
  <c r="J41" i="8"/>
  <c r="F41" i="8"/>
  <c r="E41" i="8"/>
  <c r="G41" i="8" s="1"/>
  <c r="J37" i="8"/>
  <c r="F37" i="8"/>
  <c r="E37" i="8"/>
  <c r="G37" i="8" s="1"/>
  <c r="J36" i="8"/>
  <c r="F36" i="8"/>
  <c r="E36" i="8"/>
  <c r="G36" i="8" s="1"/>
  <c r="J35" i="8"/>
  <c r="F35" i="8"/>
  <c r="E35" i="8"/>
  <c r="J31" i="8"/>
  <c r="G31" i="8"/>
  <c r="I31" i="8" s="1"/>
  <c r="J30" i="8"/>
  <c r="F30" i="8"/>
  <c r="E30" i="8"/>
  <c r="D30" i="8"/>
  <c r="J28" i="8"/>
  <c r="G28" i="8"/>
  <c r="I28" i="8" s="1"/>
  <c r="J27" i="8"/>
  <c r="F27" i="8"/>
  <c r="E27" i="8"/>
  <c r="J26" i="8"/>
  <c r="D26" i="8"/>
  <c r="E26" i="8" s="1"/>
  <c r="J25" i="8"/>
  <c r="G25" i="8"/>
  <c r="I25" i="8" s="1"/>
  <c r="J24" i="8"/>
  <c r="F24" i="8"/>
  <c r="E24" i="8"/>
  <c r="J20" i="8"/>
  <c r="F20" i="8"/>
  <c r="E20" i="8"/>
  <c r="G20" i="8" s="1"/>
  <c r="D20" i="8"/>
  <c r="J19" i="8"/>
  <c r="F19" i="8"/>
  <c r="E19" i="8"/>
  <c r="D19" i="8"/>
  <c r="J15" i="8"/>
  <c r="F15" i="8"/>
  <c r="E15" i="8"/>
  <c r="G15" i="8" s="1"/>
  <c r="D15" i="8"/>
  <c r="J14" i="8"/>
  <c r="F14" i="8"/>
  <c r="E14" i="8"/>
  <c r="D14" i="8"/>
  <c r="J13" i="8"/>
  <c r="F13" i="8"/>
  <c r="G13" i="8" s="1"/>
  <c r="E13" i="8"/>
  <c r="D13" i="8"/>
  <c r="J12" i="8"/>
  <c r="F12" i="8"/>
  <c r="G12" i="8" s="1"/>
  <c r="I12" i="8" s="1"/>
  <c r="E12" i="8"/>
  <c r="D12" i="8"/>
  <c r="J10" i="8"/>
  <c r="F10" i="8"/>
  <c r="E10" i="8"/>
  <c r="D10" i="8"/>
  <c r="J9" i="8"/>
  <c r="F9" i="8"/>
  <c r="E9" i="8"/>
  <c r="D9" i="8"/>
  <c r="J7" i="8"/>
  <c r="G7" i="8"/>
  <c r="F7" i="8"/>
  <c r="E7" i="8"/>
  <c r="D7" i="8"/>
  <c r="J6" i="8"/>
  <c r="F6" i="8"/>
  <c r="E6" i="8"/>
  <c r="D6" i="8"/>
  <c r="O24" i="11" l="1"/>
  <c r="G6" i="8"/>
  <c r="I6" i="8" s="1"/>
  <c r="G10" i="8"/>
  <c r="K10" i="8" s="1"/>
  <c r="G14" i="8"/>
  <c r="K14" i="8" s="1"/>
  <c r="G19" i="8"/>
  <c r="K19" i="8" s="1"/>
  <c r="G24" i="8"/>
  <c r="G27" i="8"/>
  <c r="K27" i="8" s="1"/>
  <c r="G43" i="8"/>
  <c r="F26" i="8"/>
  <c r="G30" i="8"/>
  <c r="G9" i="8"/>
  <c r="K9" i="8" s="1"/>
  <c r="G35" i="8"/>
  <c r="M8" i="11"/>
  <c r="O23" i="11"/>
  <c r="O25" i="11" s="1"/>
  <c r="O30" i="11" s="1"/>
  <c r="F27" i="14"/>
  <c r="F31" i="14" s="1"/>
  <c r="G5" i="14"/>
  <c r="G6" i="14" s="1"/>
  <c r="G29" i="14" s="1"/>
  <c r="F6" i="14"/>
  <c r="F29" i="14" s="1"/>
  <c r="G9" i="14"/>
  <c r="G17" i="14" s="1"/>
  <c r="G30" i="14" s="1"/>
  <c r="F17" i="14"/>
  <c r="F30" i="14" s="1"/>
  <c r="G23" i="14"/>
  <c r="G27" i="14" s="1"/>
  <c r="G31" i="14" s="1"/>
  <c r="M20" i="11"/>
  <c r="M29" i="11" s="1"/>
  <c r="O18" i="11"/>
  <c r="O19" i="11"/>
  <c r="O20" i="11" s="1"/>
  <c r="O29" i="11" s="1"/>
  <c r="O14" i="11"/>
  <c r="M14" i="11"/>
  <c r="O8" i="11"/>
  <c r="O9" i="11"/>
  <c r="M9" i="11"/>
  <c r="M6" i="11"/>
  <c r="O6" i="11"/>
  <c r="M23" i="11"/>
  <c r="M24" i="11"/>
  <c r="K31" i="8"/>
  <c r="K6" i="8"/>
  <c r="K25" i="8"/>
  <c r="K28" i="8"/>
  <c r="I19" i="8"/>
  <c r="I35" i="8"/>
  <c r="K35" i="8"/>
  <c r="I45" i="8"/>
  <c r="K45" i="8"/>
  <c r="I27" i="8"/>
  <c r="K36" i="8"/>
  <c r="I36" i="8"/>
  <c r="I43" i="8"/>
  <c r="K43" i="8"/>
  <c r="K12" i="8"/>
  <c r="K13" i="8"/>
  <c r="I13" i="8"/>
  <c r="I15" i="8"/>
  <c r="K15" i="8"/>
  <c r="I24" i="8"/>
  <c r="K24" i="8"/>
  <c r="I41" i="8"/>
  <c r="K41" i="8"/>
  <c r="K44" i="8"/>
  <c r="I44" i="8"/>
  <c r="K7" i="8"/>
  <c r="I7" i="8"/>
  <c r="I14" i="8"/>
  <c r="I20" i="8"/>
  <c r="K20" i="8"/>
  <c r="G26" i="8"/>
  <c r="I30" i="8"/>
  <c r="K30" i="8"/>
  <c r="I37" i="8"/>
  <c r="K37" i="8"/>
  <c r="K42" i="8"/>
  <c r="I42" i="8"/>
  <c r="K21" i="8" l="1"/>
  <c r="K49" i="8" s="1"/>
  <c r="I10" i="8"/>
  <c r="I9" i="8"/>
  <c r="F32" i="14"/>
  <c r="G32" i="14" s="1"/>
  <c r="G34" i="14" s="1"/>
  <c r="G35" i="14" s="1"/>
  <c r="O10" i="11"/>
  <c r="O27" i="11" s="1"/>
  <c r="M10" i="11"/>
  <c r="M27" i="11" s="1"/>
  <c r="M25" i="11"/>
  <c r="M30" i="11" s="1"/>
  <c r="M13" i="11"/>
  <c r="M15" i="11" s="1"/>
  <c r="M28" i="11" s="1"/>
  <c r="O13" i="11"/>
  <c r="O15" i="11" s="1"/>
  <c r="O28" i="11" s="1"/>
  <c r="K16" i="8"/>
  <c r="K48" i="8" s="1"/>
  <c r="I21" i="8"/>
  <c r="I49" i="8" s="1"/>
  <c r="I16" i="8"/>
  <c r="I48" i="8" s="1"/>
  <c r="I46" i="8"/>
  <c r="I52" i="8" s="1"/>
  <c r="I26" i="8"/>
  <c r="I32" i="8" s="1"/>
  <c r="I50" i="8" s="1"/>
  <c r="K26" i="8"/>
  <c r="K32" i="8" s="1"/>
  <c r="K50" i="8" s="1"/>
  <c r="I38" i="8"/>
  <c r="I51" i="8" s="1"/>
  <c r="K38" i="8"/>
  <c r="K51" i="8" s="1"/>
  <c r="K46" i="8"/>
  <c r="K52" i="8" s="1"/>
  <c r="O32" i="11" l="1"/>
  <c r="F34" i="14"/>
  <c r="F35" i="14" s="1"/>
  <c r="D21" i="5" s="1"/>
  <c r="E21" i="5" s="1"/>
  <c r="F21" i="5" s="1"/>
  <c r="M32" i="11"/>
  <c r="D19" i="5" s="1"/>
  <c r="O33" i="11"/>
  <c r="K54" i="8"/>
  <c r="I54" i="8"/>
  <c r="I56" i="8" s="1"/>
  <c r="K56" i="8" s="1"/>
  <c r="K58" i="8" l="1"/>
  <c r="E19" i="5"/>
  <c r="K59" i="8"/>
  <c r="I58" i="8"/>
  <c r="D7" i="4"/>
  <c r="H7" i="4" s="1"/>
  <c r="I53" i="4"/>
  <c r="J53" i="4" s="1"/>
  <c r="H53" i="4"/>
  <c r="I52" i="4"/>
  <c r="J52" i="4" s="1"/>
  <c r="H52" i="4"/>
  <c r="I48" i="4"/>
  <c r="J48" i="4" s="1"/>
  <c r="H48" i="4"/>
  <c r="I47" i="4"/>
  <c r="J47" i="4" s="1"/>
  <c r="H47" i="4"/>
  <c r="I46" i="4"/>
  <c r="J46" i="4" s="1"/>
  <c r="H46" i="4"/>
  <c r="I45" i="4"/>
  <c r="J45" i="4" s="1"/>
  <c r="H45" i="4"/>
  <c r="I44" i="4"/>
  <c r="J44" i="4" s="1"/>
  <c r="H44" i="4"/>
  <c r="I40" i="4"/>
  <c r="J40" i="4" s="1"/>
  <c r="H40" i="4"/>
  <c r="I39" i="4"/>
  <c r="J39" i="4" s="1"/>
  <c r="H39" i="4"/>
  <c r="I38" i="4"/>
  <c r="J38" i="4" s="1"/>
  <c r="H38" i="4"/>
  <c r="I37" i="4"/>
  <c r="J37" i="4" s="1"/>
  <c r="H37" i="4"/>
  <c r="I36" i="4"/>
  <c r="J36" i="4" s="1"/>
  <c r="H36" i="4"/>
  <c r="I35" i="4"/>
  <c r="J35" i="4" s="1"/>
  <c r="H35" i="4"/>
  <c r="I31" i="4"/>
  <c r="D31" i="4"/>
  <c r="I30" i="4"/>
  <c r="D30" i="4"/>
  <c r="I29" i="4"/>
  <c r="J29" i="4" s="1"/>
  <c r="H29" i="4"/>
  <c r="I27" i="4"/>
  <c r="J27" i="4" s="1"/>
  <c r="H27" i="4"/>
  <c r="I26" i="4"/>
  <c r="J26" i="4" s="1"/>
  <c r="H26" i="4"/>
  <c r="I25" i="4"/>
  <c r="D25" i="4"/>
  <c r="I24" i="4"/>
  <c r="J24" i="4" s="1"/>
  <c r="H24" i="4"/>
  <c r="I23" i="4"/>
  <c r="J23" i="4" s="1"/>
  <c r="H23" i="4"/>
  <c r="I19" i="4"/>
  <c r="D19" i="4"/>
  <c r="I18" i="4"/>
  <c r="D18" i="4"/>
  <c r="I14" i="4"/>
  <c r="D14" i="4"/>
  <c r="H14" i="4" s="1"/>
  <c r="I13" i="4"/>
  <c r="D13" i="4"/>
  <c r="I12" i="4"/>
  <c r="D12" i="4"/>
  <c r="I11" i="4"/>
  <c r="D11" i="4"/>
  <c r="H11" i="4" s="1"/>
  <c r="I10" i="4"/>
  <c r="D10" i="4"/>
  <c r="H10" i="4" s="1"/>
  <c r="I9" i="4"/>
  <c r="D9" i="4"/>
  <c r="H9" i="4" s="1"/>
  <c r="I7" i="4"/>
  <c r="I6" i="4"/>
  <c r="D6" i="4"/>
  <c r="H6" i="4" s="1"/>
  <c r="D20" i="5" l="1"/>
  <c r="F19" i="5"/>
  <c r="J19" i="4"/>
  <c r="J54" i="4"/>
  <c r="J18" i="4"/>
  <c r="J25" i="4"/>
  <c r="J32" i="4" s="1"/>
  <c r="J13" i="4"/>
  <c r="J30" i="4"/>
  <c r="H54" i="4"/>
  <c r="J12" i="4"/>
  <c r="H13" i="4"/>
  <c r="H49" i="4"/>
  <c r="H12" i="4"/>
  <c r="J14" i="4"/>
  <c r="J31" i="4"/>
  <c r="H41" i="4"/>
  <c r="J10" i="4"/>
  <c r="J11" i="4"/>
  <c r="J49" i="4"/>
  <c r="J41" i="4"/>
  <c r="J6" i="4"/>
  <c r="J7" i="4"/>
  <c r="J9" i="4"/>
  <c r="H18" i="4"/>
  <c r="H19" i="4"/>
  <c r="H25" i="4"/>
  <c r="H32" i="4" s="1"/>
  <c r="H30" i="4"/>
  <c r="H31" i="4"/>
  <c r="E20" i="5" l="1"/>
  <c r="D22" i="5"/>
  <c r="J20" i="4"/>
  <c r="H15" i="4"/>
  <c r="J15" i="4"/>
  <c r="H20" i="4"/>
  <c r="F20" i="5" l="1"/>
  <c r="F22" i="5" s="1"/>
  <c r="E22" i="5"/>
  <c r="J56" i="4"/>
  <c r="H56" i="4"/>
</calcChain>
</file>

<file path=xl/sharedStrings.xml><?xml version="1.0" encoding="utf-8"?>
<sst xmlns="http://schemas.openxmlformats.org/spreadsheetml/2006/main" count="345" uniqueCount="192">
  <si>
    <t>No.</t>
  </si>
  <si>
    <t>Description</t>
  </si>
  <si>
    <t>Unit</t>
  </si>
  <si>
    <t>Estimated Cost (NGN)</t>
  </si>
  <si>
    <t>Estimated Cost (USD)</t>
  </si>
  <si>
    <t>Remarks</t>
  </si>
  <si>
    <t>Unit Cost
(NGN)</t>
  </si>
  <si>
    <t>Total Cost
(NGN)</t>
  </si>
  <si>
    <t>Unit Cost
(USD)</t>
  </si>
  <si>
    <t>Total Cost
(USD)</t>
  </si>
  <si>
    <t>SqM</t>
  </si>
  <si>
    <t>Fixings</t>
  </si>
  <si>
    <t>Fixing thicker wooden poles together (mainly rafters to ridge beam)</t>
  </si>
  <si>
    <t>Fixing thicker wooden poles together</t>
  </si>
  <si>
    <t>Fixing wooden poles together (mainly doors and window frames)</t>
  </si>
  <si>
    <t>For fixing langalangas and battens</t>
  </si>
  <si>
    <t>Subtotal fixings</t>
  </si>
  <si>
    <t>CuM</t>
  </si>
  <si>
    <t>Pcs</t>
  </si>
  <si>
    <t>m</t>
  </si>
  <si>
    <t>Pair</t>
  </si>
  <si>
    <t>75 mm (3 inch) Window hinges</t>
  </si>
  <si>
    <t>100mm (4 inches) Tower bolts for windows (inside)</t>
  </si>
  <si>
    <t>Nails - 5 inch</t>
  </si>
  <si>
    <t>Kg</t>
  </si>
  <si>
    <t>Nails - 4 inch</t>
  </si>
  <si>
    <t>Nails - 3 inch</t>
  </si>
  <si>
    <t>Nails - 1 1/2 inch</t>
  </si>
  <si>
    <t>Total Cost for 1 Shelter</t>
  </si>
  <si>
    <t>Subtotal walls</t>
  </si>
  <si>
    <t>Bill of Quantity - Transitional Mudbrick Shelter with Veranda (3.3x6.5m, 2.3m height), all inclusive</t>
  </si>
  <si>
    <t>Superstructure (walls)</t>
  </si>
  <si>
    <t>100 mm (4 inch) Door hinges</t>
  </si>
  <si>
    <t>Three per door, for two doors</t>
  </si>
  <si>
    <t>125mm Internal Door latches</t>
  </si>
  <si>
    <t>125mm External Door latches</t>
  </si>
  <si>
    <t>Wind security (Langa langa) - 1.5m length each.</t>
  </si>
  <si>
    <t>Tree plantation on plot</t>
  </si>
  <si>
    <t>Subtotal tree planting</t>
  </si>
  <si>
    <t>Tree species to be agreed based on location, including: neem, papaya, guava, huru, mango</t>
  </si>
  <si>
    <t>Setting out, Excavation and Backfilling of excavated soil</t>
  </si>
  <si>
    <t>A</t>
  </si>
  <si>
    <t>B</t>
  </si>
  <si>
    <t>Substructure and floor</t>
  </si>
  <si>
    <t>Subtotal substructure</t>
  </si>
  <si>
    <t>Quantity
(2 rooms)</t>
  </si>
  <si>
    <t>Quantity
(1 rooms)</t>
  </si>
  <si>
    <r>
      <rPr>
        <b/>
        <sz val="10"/>
        <rFont val="Gill Sans MT"/>
        <family val="2"/>
      </rPr>
      <t>Damp proof membrane (DPM).</t>
    </r>
    <r>
      <rPr>
        <sz val="10"/>
        <rFont val="Gill Sans MT"/>
        <family val="2"/>
      </rPr>
      <t xml:space="preserve"> Plastic sheet high puncture resistance extremely durable water &amp; vapour resistant polythene, 1mm thickness. To cover a perimeter of 22.5m with 300mm width per shelter. To protect walls from water capillarity.</t>
    </r>
  </si>
  <si>
    <t>12 courses of bricks above the plinth to reach 2.42m above NGL, plus overhead course above wall plate on long sides. Including internal partition and gables.</t>
  </si>
  <si>
    <r>
      <rPr>
        <b/>
        <sz val="10"/>
        <rFont val="Gill Sans MT"/>
        <family val="2"/>
      </rPr>
      <t>Walling</t>
    </r>
    <r>
      <rPr>
        <sz val="10"/>
        <rFont val="Gill Sans MT"/>
        <family val="2"/>
      </rPr>
      <t>: Construct walls with Locally hand-made Mudbricks (150mmx150mmx350mm), including preparation and screening of soil of agreed grain composition, mixing with water and vegetable fibres, laid with mud mortar. Where possible, bricks to be moulded on site by local workers, including direct shelter beneficiaries.</t>
    </r>
  </si>
  <si>
    <r>
      <rPr>
        <b/>
        <sz val="10"/>
        <color rgb="FFFF0000"/>
        <rFont val="Gill Sans MT"/>
        <family val="2"/>
      </rPr>
      <t xml:space="preserve">Alternative for </t>
    </r>
    <r>
      <rPr>
        <b/>
        <sz val="10"/>
        <color theme="1"/>
        <rFont val="Gill Sans MT"/>
        <family val="2"/>
      </rPr>
      <t xml:space="preserve">Door and window cladding: </t>
    </r>
    <r>
      <rPr>
        <sz val="10"/>
        <color theme="1"/>
        <rFont val="Gill Sans MT"/>
        <family val="2"/>
      </rPr>
      <t>0.55mm blue long span corrugated aluminum sheet complete with accessories fixed to door and window frames (800x2050mm and 400x700mm respectively) inclusive of overlap on frame. Quantity for two doors and two windows. Doors branded with IOM white logo.</t>
    </r>
  </si>
  <si>
    <r>
      <rPr>
        <b/>
        <sz val="10"/>
        <color rgb="FFFF0000"/>
        <rFont val="Gill Sans MT"/>
        <family val="2"/>
      </rPr>
      <t>Alternative for roof</t>
    </r>
    <r>
      <rPr>
        <b/>
        <sz val="10"/>
        <color theme="1"/>
        <rFont val="Gill Sans MT"/>
        <family val="2"/>
      </rPr>
      <t>: Provide and install 0.55mm blue long span</t>
    </r>
    <r>
      <rPr>
        <sz val="10"/>
        <color theme="1"/>
        <rFont val="Gill Sans MT"/>
        <family val="2"/>
      </rPr>
      <t xml:space="preserve"> corrugated aluminum sheet complete with accessories for roof, doors and window cladding. With Branded IOM logo in white color on selected sheets as per design (logos may be applied on construction site).</t>
    </r>
  </si>
  <si>
    <t>Doors and windows fixings (hinges and latches)</t>
  </si>
  <si>
    <t>Subtotal doors and windows fixings</t>
  </si>
  <si>
    <t>Supply and fix cylindrical plant protector (cage) made from palm stick size 1.2m x 0.45mm diameter.</t>
  </si>
  <si>
    <t>Provision and planting of tree seedling on the shelter plot.</t>
  </si>
  <si>
    <t>For key connections including tying of purlins and rafters to the superstructure, tying of wall plate to walls and secure connection of door and window frames to walls</t>
  </si>
  <si>
    <t>Quantity
(3 rooms)</t>
  </si>
  <si>
    <r>
      <rPr>
        <b/>
        <sz val="10"/>
        <rFont val="Gill Sans MT"/>
        <family val="2"/>
      </rPr>
      <t xml:space="preserve">Perimeter blockwork: </t>
    </r>
    <r>
      <rPr>
        <sz val="10"/>
        <rFont val="Gill Sans MT"/>
        <family val="2"/>
      </rPr>
      <t>Sandcrete hollow blocks 6"x 18"x 9" (150x450x230mm) bedded and jointed in cement-sand mortar (ratio 1:6 - batching is 1 cement bag for 3 wheelbarrows of sand), block holes filled with mud. Two courses for the foundatio of the main rooms and one course for the veranda.</t>
    </r>
  </si>
  <si>
    <r>
      <rPr>
        <b/>
        <sz val="10"/>
        <rFont val="Gill Sans MT"/>
        <family val="2"/>
      </rPr>
      <t>Floor</t>
    </r>
    <r>
      <rPr>
        <sz val="10"/>
        <rFont val="Gill Sans MT"/>
        <family val="2"/>
      </rPr>
      <t>. Plain in situ sandcrete floor 50mm thick (ratio 1:4 - batching is 1 cement bag for 2 wheelbarrows of sand) cast over backfilled and compacted soil.</t>
    </r>
  </si>
  <si>
    <r>
      <rPr>
        <b/>
        <sz val="10"/>
        <rFont val="Gill Sans MT"/>
        <family val="2"/>
      </rPr>
      <t>Floor finish</t>
    </r>
    <r>
      <rPr>
        <sz val="10"/>
        <rFont val="Gill Sans MT"/>
        <family val="2"/>
      </rPr>
      <t>: cement grout covering a surface of 26.7sqm for the internal rooms and veranda</t>
    </r>
  </si>
  <si>
    <r>
      <rPr>
        <b/>
        <sz val="10"/>
        <rFont val="Gill Sans MT"/>
        <family val="2"/>
      </rPr>
      <t xml:space="preserve">Plastering of blockwork. </t>
    </r>
    <r>
      <rPr>
        <sz val="10"/>
        <rFont val="Gill Sans MT"/>
        <family val="2"/>
      </rPr>
      <t>External plastering of foundation blockwork above ground level (ratio 1:6 cement to plaster sand. Batching is 1 cement bag for 3 wheelbarrows of sand).</t>
    </r>
  </si>
  <si>
    <r>
      <rPr>
        <b/>
        <sz val="10"/>
        <rFont val="Gill Sans MT"/>
        <family val="2"/>
      </rPr>
      <t>Apply earth-based plaster</t>
    </r>
    <r>
      <rPr>
        <sz val="10"/>
        <rFont val="Gill Sans MT"/>
        <family val="2"/>
      </rPr>
      <t>, 15mm thickness, mixture of mud, boiled bitumen and used engine oil (or water-based bitumen), to be applied in at least two coats. Inclusive of all required materials for the mixture, water and labour costs. For all external mudbrick walls, and only 300mm height for the internal rooms.</t>
    </r>
  </si>
  <si>
    <r>
      <t>Provide and install Obeche Timber poles,</t>
    </r>
    <r>
      <rPr>
        <sz val="10"/>
        <color theme="1"/>
        <rFont val="Gill Sans MT"/>
        <family val="2"/>
      </rPr>
      <t xml:space="preserve"> 2x6 inches - full length min. 3m</t>
    </r>
    <r>
      <rPr>
        <b/>
        <sz val="10"/>
        <color theme="1"/>
        <rFont val="Gill Sans MT"/>
        <family val="2"/>
      </rPr>
      <t xml:space="preserve">, </t>
    </r>
    <r>
      <rPr>
        <sz val="10"/>
        <color theme="1"/>
        <rFont val="Gill Sans MT"/>
        <family val="2"/>
      </rPr>
      <t>pre-treated with antitermite/engine oil solution</t>
    </r>
    <r>
      <rPr>
        <b/>
        <sz val="10"/>
        <color theme="1"/>
        <rFont val="Gill Sans MT"/>
        <family val="2"/>
      </rPr>
      <t>.</t>
    </r>
    <r>
      <rPr>
        <sz val="10"/>
        <color theme="1"/>
        <rFont val="Gill Sans MT"/>
        <family val="2"/>
      </rPr>
      <t xml:space="preserve"> For wall plates (4pcs), door frames (4pcs) and lintel of front windows (1pc cut in two). To be secured with langalanga to the brick walls.</t>
    </r>
  </si>
  <si>
    <r>
      <t>Provide and install Obeche Timber poles,</t>
    </r>
    <r>
      <rPr>
        <sz val="10"/>
        <color theme="1"/>
        <rFont val="Gill Sans MT"/>
        <family val="2"/>
      </rPr>
      <t xml:space="preserve"> 2x6 inches - full length min. 3m for studded poles at front veranda, pre-treated with antitermite/engine oil solution and fully</t>
    </r>
    <r>
      <rPr>
        <b/>
        <sz val="10"/>
        <color theme="1"/>
        <rFont val="Gill Sans MT"/>
        <family val="2"/>
      </rPr>
      <t xml:space="preserve"> </t>
    </r>
    <r>
      <rPr>
        <sz val="10"/>
        <color theme="1"/>
        <rFont val="Gill Sans MT"/>
        <family val="2"/>
      </rPr>
      <t>termite treated at base</t>
    </r>
    <r>
      <rPr>
        <sz val="10"/>
        <color rgb="FFFF0000"/>
        <rFont val="Gill Sans MT"/>
        <family val="2"/>
      </rPr>
      <t xml:space="preserve"> </t>
    </r>
    <r>
      <rPr>
        <sz val="10"/>
        <rFont val="Gill Sans MT"/>
        <family val="2"/>
      </rPr>
      <t>(soaked in metal drum min 900mm from base)</t>
    </r>
    <r>
      <rPr>
        <b/>
        <sz val="10"/>
        <color theme="1"/>
        <rFont val="Gill Sans MT"/>
        <family val="2"/>
      </rPr>
      <t xml:space="preserve">. </t>
    </r>
    <r>
      <rPr>
        <sz val="10"/>
        <color theme="1"/>
        <rFont val="Gill Sans MT"/>
        <family val="2"/>
      </rPr>
      <t>To be cast in sand-cement footing.</t>
    </r>
  </si>
  <si>
    <r>
      <t>Provide and install Obeche Timber poles,</t>
    </r>
    <r>
      <rPr>
        <sz val="10"/>
        <color theme="1"/>
        <rFont val="Gill Sans MT"/>
        <family val="2"/>
      </rPr>
      <t xml:space="preserve"> 2x4 inches - full length min. 3m</t>
    </r>
    <r>
      <rPr>
        <b/>
        <sz val="10"/>
        <color theme="1"/>
        <rFont val="Gill Sans MT"/>
        <family val="2"/>
      </rPr>
      <t>,</t>
    </r>
    <r>
      <rPr>
        <sz val="10"/>
        <color theme="1"/>
        <rFont val="Gill Sans MT"/>
        <family val="2"/>
      </rPr>
      <t xml:space="preserve"> pre-treated with antitermite/engine oil solution</t>
    </r>
    <r>
      <rPr>
        <b/>
        <sz val="10"/>
        <color theme="1"/>
        <rFont val="Gill Sans MT"/>
        <family val="2"/>
      </rPr>
      <t xml:space="preserve">. </t>
    </r>
    <r>
      <rPr>
        <sz val="10"/>
        <color theme="1"/>
        <rFont val="Gill Sans MT"/>
        <family val="2"/>
      </rPr>
      <t xml:space="preserve">For ridge beam (2.5 pcs); </t>
    </r>
    <r>
      <rPr>
        <sz val="10"/>
        <color rgb="FFFF0000"/>
        <rFont val="Gill Sans MT"/>
        <family val="2"/>
      </rPr>
      <t xml:space="preserve">7.5pcs </t>
    </r>
    <r>
      <rPr>
        <sz val="10"/>
        <color theme="1"/>
        <rFont val="Gill Sans MT"/>
        <family val="2"/>
      </rPr>
      <t>front rafters (330cm); 5pcs back rafters (230cm); 2pcs for wall plate for front veranda; 2pcs for tie beams at truss 2-4. 3 tie collar at truss 1-3-5 (100 cm length) and 2 king posts of (80cm length), to be obtained from rafters offcuts.</t>
    </r>
  </si>
  <si>
    <r>
      <t>Provide and install Fascia board</t>
    </r>
    <r>
      <rPr>
        <sz val="10"/>
        <color theme="1"/>
        <rFont val="Gill Sans MT"/>
        <family val="2"/>
      </rPr>
      <t>, 1x5 inches timber plank - full length min. 3m - along the whole perimeter of the roof</t>
    </r>
    <r>
      <rPr>
        <b/>
        <sz val="10"/>
        <color theme="1"/>
        <rFont val="Gill Sans MT"/>
        <family val="2"/>
      </rPr>
      <t>,</t>
    </r>
    <r>
      <rPr>
        <sz val="10"/>
        <color theme="1"/>
        <rFont val="Gill Sans MT"/>
        <family val="2"/>
      </rPr>
      <t xml:space="preserve"> pre-treated with antitermite/engine oil solution</t>
    </r>
    <r>
      <rPr>
        <b/>
        <sz val="10"/>
        <color theme="1"/>
        <rFont val="Gill Sans MT"/>
        <family val="2"/>
      </rPr>
      <t>.</t>
    </r>
  </si>
  <si>
    <r>
      <t>Provide and install Aluzinc ridge cap,</t>
    </r>
    <r>
      <rPr>
        <sz val="10"/>
        <color theme="1"/>
        <rFont val="Gill Sans MT"/>
        <family val="2"/>
      </rPr>
      <t xml:space="preserve"> 0.35mm thick * 400mm wide, blue color, folded at the centre. Well secured with 4 cap nails over the fascia board at each gable end.</t>
    </r>
  </si>
  <si>
    <r>
      <t>Provide and install Obeche Timber poles,</t>
    </r>
    <r>
      <rPr>
        <sz val="10"/>
        <color theme="1"/>
        <rFont val="Gill Sans MT"/>
        <family val="2"/>
      </rPr>
      <t xml:space="preserve"> 2x3 inches - full length min. 3m</t>
    </r>
    <r>
      <rPr>
        <b/>
        <sz val="10"/>
        <color theme="1"/>
        <rFont val="Gill Sans MT"/>
        <family val="2"/>
      </rPr>
      <t xml:space="preserve">, </t>
    </r>
    <r>
      <rPr>
        <sz val="10"/>
        <color theme="1"/>
        <rFont val="Gill Sans MT"/>
        <family val="2"/>
      </rPr>
      <t>pre-treated with antitermite/engine oil solution. For 10 lines of purlins (25pcs), for door panels and bracing (6pcs) and for windows frames and panels (3pcs). Purlins to be nailed to rafters and secured with langalanga.</t>
    </r>
  </si>
  <si>
    <t>Timbers for roof structure and doors/windows</t>
  </si>
  <si>
    <t>Roof cover</t>
  </si>
  <si>
    <t>Subtotal timbers and roof cover</t>
  </si>
  <si>
    <t>Clear site, set out the shelter according to layout provided by IOM and Excavate foundation trench to a minimum depth of 325mm below natural ground and in width 300mm to receive the foundation footing of 75mm thick. And excavate 5Nos of foundation holes for studded poles each 200x100mm by 600mm deep</t>
  </si>
  <si>
    <t>Backfill and Rammer sides of the excavated trench, as well as internal rooms and veranda to serve as base for finishing with sand cement floor, using excavated material from the foundation and the latrine pit excavation.</t>
  </si>
  <si>
    <r>
      <rPr>
        <b/>
        <sz val="10"/>
        <rFont val="Gill Sans MT"/>
        <family val="2"/>
      </rPr>
      <t xml:space="preserve">Foundation footings: </t>
    </r>
    <r>
      <rPr>
        <sz val="10"/>
        <rFont val="Gill Sans MT"/>
        <family val="2"/>
      </rPr>
      <t>plain in situ sandcrete for foundations footing and studded poles (ratio 1:4 of cement:sharp sand - batching 1 cement bag for 2 wheelbarrows of sharp sand). 1. Footing of 75mm thick and 300mm wide.
2. Fill the sides of 5Nos excavated footings of studded poles.</t>
    </r>
  </si>
  <si>
    <t>Provide padlock and keys</t>
  </si>
  <si>
    <t>Subtotal Cost for 1 Shelter</t>
  </si>
  <si>
    <t>Contingency (1% of subtotal cost)</t>
  </si>
  <si>
    <r>
      <rPr>
        <b/>
        <sz val="10"/>
        <rFont val="Gill Sans MT"/>
        <family val="2"/>
      </rPr>
      <t xml:space="preserve">Perimeter blockwork: </t>
    </r>
    <r>
      <rPr>
        <sz val="10"/>
        <rFont val="Gill Sans MT"/>
        <family val="2"/>
      </rPr>
      <t>Sandcrete hollow blocks 6"x 18"x 9" (150x450x230mm) bedded and jointed in cement-sand mortar (ratio 1:6 - batching is 1 cement bag for 3 wheelbarrows of sand), block holes filled with mud. Two courses for the foundation of the main rooms and one course for the veranda.</t>
    </r>
  </si>
  <si>
    <r>
      <rPr>
        <b/>
        <sz val="10"/>
        <rFont val="Gill Sans MT"/>
        <family val="2"/>
      </rPr>
      <t xml:space="preserve">Plastering of blockwork. </t>
    </r>
    <r>
      <rPr>
        <sz val="10"/>
        <rFont val="Gill Sans MT"/>
        <family val="2"/>
      </rPr>
      <t>External sand-cement plastering of foundation blockwork above ground level (ratio 1:6 cement to plaster sand. Batching is 1 cement bag for 3 wheelbarrows of sand).</t>
    </r>
  </si>
  <si>
    <r>
      <rPr>
        <b/>
        <sz val="10"/>
        <rFont val="Gill Sans MT"/>
        <family val="2"/>
      </rPr>
      <t>Apply earth-based plaster</t>
    </r>
    <r>
      <rPr>
        <sz val="10"/>
        <rFont val="Gill Sans MT"/>
        <family val="2"/>
      </rPr>
      <t>, 15mm thickness, mixture of mud, boiled bitumen and used engine oil (or water-based bitumen), to be applied in at least two coats. Inclusive of all required materials for the mixture, water and labour costs. For all external mudbrick walls, and only 300mm height from floor level for the internal rooms.</t>
    </r>
  </si>
  <si>
    <t>Timbers for roof structure and door frame</t>
  </si>
  <si>
    <t>Doors and windows</t>
  </si>
  <si>
    <t>Subtotal doors and windows</t>
  </si>
  <si>
    <t>Provisional sum to cover for any minor variation, unexpected events and improvements or upgrades for people with disability.</t>
  </si>
  <si>
    <t>Bill of Quantity - Transitional Mudbrick Shelter with Veranda (3.3x6.45m, 2.3m height), all inclusive</t>
  </si>
  <si>
    <r>
      <t>Provide and install CGI Sheets</t>
    </r>
    <r>
      <rPr>
        <sz val="10"/>
        <color theme="1"/>
        <rFont val="Gill Sans MT"/>
        <family val="2"/>
      </rPr>
      <t xml:space="preserve"> (2.4m x 0.6m x 0.2mm thick) with 75mm cap nails fixed at every corrugation at the edges of the roof, wit side overlap of 2 corrugations and min. 200mm end overlap between sheets. Folded and fixed over fascia board at gable ends. With Branded IOM logo in blue color on selected sheets as per design (logos may be applied on construction site).</t>
    </r>
  </si>
  <si>
    <r>
      <rPr>
        <b/>
        <sz val="10"/>
        <rFont val="Gill Sans MT"/>
        <family val="2"/>
      </rPr>
      <t>Install purpose made doors</t>
    </r>
    <r>
      <rPr>
        <sz val="10"/>
        <rFont val="Gill Sans MT"/>
        <family val="2"/>
      </rPr>
      <t xml:space="preserve"> of 2.1x0.7m with 2x3" timbers for door leaf, three 100mm hinges per door to fix leaf on frame, cladding with CGI sheet 0.2mm thick branded with IOM logo, internal and external latches 125mm, padlock of 0.25kg and keys.</t>
    </r>
  </si>
  <si>
    <t>GBP</t>
  </si>
  <si>
    <t>NGN</t>
  </si>
  <si>
    <t>USD</t>
  </si>
  <si>
    <t>Tree species to be agreed based on location, including but not limited to: neem, papaya, guava, orange, cashew, huru, mango. Economic fruit trees to be prioritized, fast growing and high production</t>
  </si>
  <si>
    <r>
      <rPr>
        <b/>
        <sz val="10"/>
        <rFont val="Gill Sans MT"/>
        <family val="2"/>
      </rPr>
      <t>Install purpose made windows</t>
    </r>
    <r>
      <rPr>
        <sz val="10"/>
        <rFont val="Gill Sans MT"/>
        <family val="2"/>
      </rPr>
      <t xml:space="preserve"> of 600mm height by 300mm width, with 2x3" timbers for frame and leaf, two 75mm hinges (one pair) and cladded with blue aluzinc, with internal 100mm tower bolts. Branded with white IOM logo.</t>
    </r>
  </si>
  <si>
    <r>
      <rPr>
        <b/>
        <sz val="10"/>
        <rFont val="Gill Sans MT"/>
        <family val="2"/>
      </rPr>
      <t>Install purpose made fly screen net for ventilation</t>
    </r>
    <r>
      <rPr>
        <sz val="10"/>
        <rFont val="Gill Sans MT"/>
        <family val="2"/>
      </rPr>
      <t xml:space="preserve"> of 250mm height by 150mm width, with timber battens for frame nailed to the net to wall and wall plate.</t>
    </r>
  </si>
  <si>
    <t>Refer to design for location and size of ventilation holes.</t>
  </si>
  <si>
    <t>Quantity
(2 room shelter)</t>
  </si>
  <si>
    <t>Quantity
(4 rooms)</t>
  </si>
  <si>
    <t>Quantity
(6 rooms)</t>
  </si>
  <si>
    <t>S/N</t>
  </si>
  <si>
    <t>DESCRIPTION</t>
  </si>
  <si>
    <t>UNIT</t>
  </si>
  <si>
    <t>Quantity</t>
  </si>
  <si>
    <t>Unit cost (NGN)</t>
  </si>
  <si>
    <t>Total cost (NGN)</t>
  </si>
  <si>
    <t>Total cost (USD)</t>
  </si>
  <si>
    <t>Excavation and earthworks</t>
  </si>
  <si>
    <t>Clear site and excavate 1.8 x 2.1m x 2.05m depth pit for the latrine</t>
  </si>
  <si>
    <t>m³</t>
  </si>
  <si>
    <r>
      <t>Backfill and compact already complete</t>
    </r>
    <r>
      <rPr>
        <sz val="12"/>
        <rFont val="Times New Roman"/>
        <family val="1"/>
      </rPr>
      <t>d side of pit</t>
    </r>
    <r>
      <rPr>
        <sz val="12"/>
        <color indexed="8"/>
        <rFont val="Times New Roman"/>
        <family val="1"/>
      </rPr>
      <t xml:space="preserve"> with the soil, and backfill and compact front of the latrine and the whole of shower area.</t>
    </r>
  </si>
  <si>
    <t>The remaining excavated soil can be spread or used for backfilling of the shelter</t>
  </si>
  <si>
    <t>Total of section A carried to summary</t>
  </si>
  <si>
    <t>Sub structure</t>
  </si>
  <si>
    <r>
      <rPr>
        <b/>
        <sz val="12"/>
        <color indexed="8"/>
        <rFont val="Times New Roman"/>
        <family val="1"/>
      </rPr>
      <t>Plain in situ concrete for foundation footing</t>
    </r>
    <r>
      <rPr>
        <sz val="12"/>
        <color indexed="8"/>
        <rFont val="Times New Roman"/>
        <family val="1"/>
      </rPr>
      <t xml:space="preserve"> (concrete mix 1:2:4 – 20mm aggregate). For footing of pit lining, shower, front of latrine blockwork and separating wall.</t>
    </r>
  </si>
  <si>
    <r>
      <rPr>
        <b/>
        <sz val="12"/>
        <color indexed="8"/>
        <rFont val="Times New Roman"/>
        <family val="1"/>
      </rPr>
      <t xml:space="preserve">Plain in situ concrete slab </t>
    </r>
    <r>
      <rPr>
        <b/>
        <sz val="12"/>
        <rFont val="Times New Roman"/>
        <family val="1"/>
      </rPr>
      <t>for shower floor</t>
    </r>
    <r>
      <rPr>
        <sz val="12"/>
        <color indexed="8"/>
        <rFont val="Times New Roman"/>
        <family val="1"/>
      </rPr>
      <t xml:space="preserve"> (concrete mix 1:2:4 – 20mm aggregate). </t>
    </r>
    <r>
      <rPr>
        <sz val="12"/>
        <color indexed="8"/>
        <rFont val="Times New Roman"/>
        <family val="1"/>
      </rPr>
      <t xml:space="preserve">1.35x1.5m x 50mm thick; </t>
    </r>
  </si>
  <si>
    <r>
      <rPr>
        <b/>
        <sz val="12"/>
        <rFont val="Times New Roman"/>
        <family val="1"/>
      </rPr>
      <t>External step</t>
    </r>
    <r>
      <rPr>
        <sz val="12"/>
        <rFont val="Times New Roman"/>
        <family val="1"/>
      </rPr>
      <t xml:space="preserve"> built with sandcrete blockwork as formwork and filled with sand-cement mix (ratio 1:6). 175mm rise x 300mm landing x 1.8m width</t>
    </r>
  </si>
  <si>
    <t>LS</t>
  </si>
  <si>
    <r>
      <rPr>
        <b/>
        <sz val="12"/>
        <color indexed="8"/>
        <rFont val="Times New Roman"/>
        <family val="1"/>
      </rPr>
      <t>Soak pit</t>
    </r>
    <r>
      <rPr>
        <sz val="12"/>
        <color indexed="8"/>
        <rFont val="Times New Roman"/>
        <family val="1"/>
      </rPr>
      <t xml:space="preserve"> of 450mm long x 400mm width (in to in) x 500mm deep, filled with gravel stones of 3 inches thick to collect waste water from drain pipe (refer drawing)</t>
    </r>
  </si>
  <si>
    <t>m3</t>
  </si>
  <si>
    <r>
      <rPr>
        <b/>
        <sz val="12"/>
        <color indexed="8"/>
        <rFont val="Times New Roman"/>
        <family val="1"/>
      </rPr>
      <t xml:space="preserve">Reinforced precast concrete floor slabs </t>
    </r>
    <r>
      <rPr>
        <sz val="12"/>
        <color indexed="8"/>
        <rFont val="Times New Roman"/>
        <family val="1"/>
      </rPr>
      <t>(1:2:4- 20mm aggregate) reinforced with Y12mm bars @ 150 c/c  both ways. Slab 1 (1200x1500mm x 100mm thick) with one internal beam of 1200x150mm x100mm; and Slab 2 detachable service slab (1200x600mm x80mm thick) with two tie rod lifting handles</t>
    </r>
  </si>
  <si>
    <r>
      <rPr>
        <b/>
        <sz val="12"/>
        <color indexed="8"/>
        <rFont val="Times New Roman"/>
        <family val="1"/>
      </rPr>
      <t>Sawn form work</t>
    </r>
    <r>
      <rPr>
        <sz val="12"/>
        <color indexed="8"/>
        <rFont val="Times New Roman"/>
        <family val="1"/>
      </rPr>
      <t xml:space="preserve"> to Sides of slabs, using timber planks.</t>
    </r>
  </si>
  <si>
    <r>
      <t>m</t>
    </r>
    <r>
      <rPr>
        <sz val="12"/>
        <color indexed="8"/>
        <rFont val="Times New Roman"/>
        <family val="1"/>
      </rPr>
      <t>²</t>
    </r>
  </si>
  <si>
    <t>Formwork to be reused minimum four times.</t>
  </si>
  <si>
    <r>
      <rPr>
        <b/>
        <sz val="12"/>
        <color indexed="8"/>
        <rFont val="Times New Roman"/>
        <family val="1"/>
      </rPr>
      <t>Block work</t>
    </r>
    <r>
      <rPr>
        <sz val="12"/>
        <color indexed="8"/>
        <rFont val="Times New Roman"/>
        <family val="1"/>
      </rPr>
      <t>: hollow sand:concrete block work bedded and jointed in cement and sand mortar (mix 1:6), 150mm thickness filled with cement sand mortar for pit lining, other foundation works, and soak pit from shower.</t>
    </r>
  </si>
  <si>
    <t>m²</t>
  </si>
  <si>
    <r>
      <t xml:space="preserve">Plastering of blockwork above ground level. </t>
    </r>
    <r>
      <rPr>
        <sz val="12"/>
        <rFont val="Times New Roman"/>
        <family val="1"/>
      </rPr>
      <t>Sand-cement plastering of external blockwork above ground level and internal blockwork above slabs (ratio 1:6 cement to plaster sand. Batching is 1 cement bag for 3 wheelbarrows of sand).</t>
    </r>
  </si>
  <si>
    <t>Total of section B carried to summary</t>
  </si>
  <si>
    <t>C</t>
  </si>
  <si>
    <t>Superstructure and Roofing</t>
  </si>
  <si>
    <r>
      <rPr>
        <b/>
        <sz val="12"/>
        <color indexed="8"/>
        <rFont val="Times New Roman"/>
        <family val="1"/>
      </rPr>
      <t>Walling:</t>
    </r>
    <r>
      <rPr>
        <sz val="12"/>
        <color indexed="8"/>
        <rFont val="Times New Roman"/>
        <family val="1"/>
      </rPr>
      <t xml:space="preserve"> Construct mudbrick walling 150mm thickness. (mudbrick size 150mm thick x 150mm wide x 300-350mm length, locally molded and sun baked, if possible employing local labour). In Sand cement mix mortar.</t>
    </r>
  </si>
  <si>
    <t>Including separating wall on boundary line (refer to floor plan)</t>
  </si>
  <si>
    <r>
      <rPr>
        <b/>
        <sz val="12"/>
        <color indexed="8"/>
        <rFont val="Times New Roman"/>
        <family val="1"/>
      </rPr>
      <t>Internal and external earth-based plastering:</t>
    </r>
    <r>
      <rPr>
        <sz val="12"/>
        <color indexed="8"/>
        <rFont val="Times New Roman"/>
        <family val="1"/>
      </rPr>
      <t xml:space="preserve"> 15mm thickness, mixture of soil, sharp sand, boiled bitumen and used engine oil, to be applied in at least two coats. Inclusive of all required materials for the mixture, water and labour costs.</t>
    </r>
  </si>
  <si>
    <r>
      <rPr>
        <b/>
        <sz val="12"/>
        <rFont val="Times New Roman"/>
        <family val="1"/>
      </rPr>
      <t>Provide and fix wire mesh</t>
    </r>
    <r>
      <rPr>
        <sz val="12"/>
        <rFont val="Times New Roman"/>
        <family val="1"/>
      </rPr>
      <t xml:space="preserve"> with fly screen net on all sides of the structure, as ventilation opening.</t>
    </r>
  </si>
  <si>
    <r>
      <rPr>
        <b/>
        <sz val="12"/>
        <rFont val="Times New Roman"/>
        <family val="1"/>
      </rPr>
      <t>Roof</t>
    </r>
    <r>
      <rPr>
        <sz val="12"/>
        <rFont val="Times New Roman"/>
        <family val="1"/>
      </rPr>
      <t>: 0.20mm gauge corrugated Zinc roofing sheets (1800mm x 600mm) on 4No. 75mm x 50mm x 3200mm purlins on 5No. 100mm x 50mm x 1600mm timber Hardwood treated Taraba timber rafters on 2No. 100mm x 50mm Hardwood taraba treated timber wall plate (upper) and 2No. 150mm x 50mm Hardwood taraba treated timber wall plate (lower). With 25x125mm timber plank fascia board along the whole perimeter. All fastened with langalanga to the wall and both rafters with purlins at joints. see detail design.</t>
    </r>
  </si>
  <si>
    <t>Hardwood treated Taraba timber 100mm x 50mm x 3100mm full lenght outer bracing laid on blockwork with langalanga and fastened to vertical timber studs to provide for fixing of net. Bottom and top chords</t>
  </si>
  <si>
    <r>
      <t xml:space="preserve">Hardwood treated Taraba timber 100mm x 50mm x 3100mm full lenght cut into pieces of </t>
    </r>
    <r>
      <rPr>
        <sz val="12"/>
        <rFont val="Times New Roman"/>
        <family val="1"/>
      </rPr>
      <t>400mm</t>
    </r>
    <r>
      <rPr>
        <sz val="12"/>
        <color indexed="8"/>
        <rFont val="Times New Roman"/>
        <family val="1"/>
      </rPr>
      <t xml:space="preserve">-350mm-300mm for vertical timber studs fastened to horizontal bracing for fixing of net. </t>
    </r>
    <r>
      <rPr>
        <sz val="12"/>
        <rFont val="Times New Roman"/>
        <family val="1"/>
      </rPr>
      <t>Kindly note that additional four offcuts will be sourced from the remains from outer bracing. To make it 12 pieces in all.</t>
    </r>
  </si>
  <si>
    <t>2pcs of 350mm (sides). 5pcs of 400mm (front). 5pcs of 300mm (rear).</t>
  </si>
  <si>
    <r>
      <rPr>
        <b/>
        <sz val="12"/>
        <rFont val="Times New Roman"/>
        <family val="1"/>
      </rPr>
      <t>Vent pipe:</t>
    </r>
    <r>
      <rPr>
        <sz val="12"/>
        <rFont val="Times New Roman"/>
        <family val="1"/>
      </rPr>
      <t xml:space="preserve"> Complete length 3m*100mmØ uPVC blue vent pipes with fulbora guard cover at the top, placed in detachable slab and firmly fastened to wall with metal strap bracket or langalanga at three points, tilted to avoid contact with the roofing (refer to drawing).</t>
    </r>
  </si>
  <si>
    <r>
      <rPr>
        <b/>
        <sz val="12"/>
        <rFont val="Times New Roman"/>
        <family val="1"/>
      </rPr>
      <t>Doors:</t>
    </r>
    <r>
      <rPr>
        <sz val="12"/>
        <rFont val="Times New Roman"/>
        <family val="1"/>
      </rPr>
      <t xml:space="preserve"> Purpose made IOM branded CGI sheet door sizes 650mm x 1920mm high, with 2x6 timber frame and 2x3 timber panel/leaf, installed complete with hinges, staples, padlocks and keys.</t>
    </r>
  </si>
  <si>
    <t xml:space="preserve">Total of section C carried to summary </t>
  </si>
  <si>
    <t>SUMMARY</t>
  </si>
  <si>
    <t>Section A Excavation</t>
  </si>
  <si>
    <t>Section B Sub – structure</t>
  </si>
  <si>
    <t xml:space="preserve">Section C Super structure </t>
  </si>
  <si>
    <t>Grand Total for One Family Pit Latrine and Shower</t>
  </si>
  <si>
    <r>
      <rPr>
        <b/>
        <sz val="12"/>
        <color theme="1"/>
        <rFont val="Times New Roman"/>
        <family val="1"/>
      </rPr>
      <t>Provide and install 50mm diameter PVC floor drain</t>
    </r>
    <r>
      <rPr>
        <sz val="12"/>
        <color theme="1"/>
        <rFont val="Times New Roman"/>
        <family val="1"/>
      </rPr>
      <t xml:space="preserve"> in shower area, connected to 50mm diameter drain  pipe to be embedded in concrete slab and channelled to the shower soak pit. </t>
    </r>
  </si>
  <si>
    <t>Clear site, set out the shelter according to layout provided by IOM and Excavate foundation trench to a minimum depth of 305mm below natural ground and in width 300mm to receive the foundation footing of 75mm thick. And excavate foundation holes for studded poles each 200x100mm by 600mm deep</t>
  </si>
  <si>
    <t>Total quantity</t>
  </si>
  <si>
    <r>
      <rPr>
        <b/>
        <sz val="10"/>
        <rFont val="Gill Sans MT"/>
        <family val="2"/>
      </rPr>
      <t xml:space="preserve">Foundation footings: </t>
    </r>
    <r>
      <rPr>
        <sz val="10"/>
        <rFont val="Gill Sans MT"/>
        <family val="2"/>
      </rPr>
      <t>plain in situ sandcrete for foundations footing and studded poles (ratio 1:4 of cement:sharp sand - batching 1 cement bag for 2 wheelbarrows of sharp sand). 1. Footing of 75mm thick and 300mm wide. and 2. Fill the sides of the excavated footings of studded poles. Note: Poles should be pre-treated before inserting into the ground.</t>
    </r>
  </si>
  <si>
    <t>Substructure finishing and floor</t>
  </si>
  <si>
    <t>B2</t>
  </si>
  <si>
    <t>B1</t>
  </si>
  <si>
    <t>Substructure</t>
  </si>
  <si>
    <r>
      <rPr>
        <b/>
        <sz val="10"/>
        <rFont val="Gill Sans MT"/>
        <family val="2"/>
      </rPr>
      <t>Damp proof membrane (DPM).</t>
    </r>
    <r>
      <rPr>
        <sz val="10"/>
        <rFont val="Gill Sans MT"/>
        <family val="2"/>
      </rPr>
      <t xml:space="preserve"> Plastic sheet high puncture resistance extremely durable water &amp; vapour resistant polythene, 0.1mm thickness. To cover the perimeter of the rooms including mid partitions with 250mm width. To protect walls from water capillarity.</t>
    </r>
  </si>
  <si>
    <t>Superstructure (mudbrick walls)</t>
  </si>
  <si>
    <t>13 courses of bricks above the plinth to reach 2.49m above NGL, plus overhead course above wall plate on long sides. Including internal partition and gables. Provide 50mm ventilation gaps at the overhead course as per design.</t>
  </si>
  <si>
    <t>D</t>
  </si>
  <si>
    <r>
      <t>Provide and install Obeche Timber poles,</t>
    </r>
    <r>
      <rPr>
        <sz val="10"/>
        <color theme="1"/>
        <rFont val="Gill Sans MT"/>
        <family val="2"/>
      </rPr>
      <t xml:space="preserve"> </t>
    </r>
    <r>
      <rPr>
        <b/>
        <sz val="10"/>
        <color theme="1"/>
        <rFont val="Gill Sans MT"/>
        <family val="2"/>
      </rPr>
      <t>2x6 inches</t>
    </r>
    <r>
      <rPr>
        <sz val="10"/>
        <color theme="1"/>
        <rFont val="Gill Sans MT"/>
        <family val="2"/>
      </rPr>
      <t xml:space="preserve"> - full length min. 3m</t>
    </r>
    <r>
      <rPr>
        <b/>
        <sz val="10"/>
        <color theme="1"/>
        <rFont val="Gill Sans MT"/>
        <family val="2"/>
      </rPr>
      <t xml:space="preserve">, </t>
    </r>
    <r>
      <rPr>
        <sz val="10"/>
        <color theme="1"/>
        <rFont val="Gill Sans MT"/>
        <family val="2"/>
      </rPr>
      <t>pre-treated with antitermite/engine oil solution</t>
    </r>
    <r>
      <rPr>
        <b/>
        <sz val="10"/>
        <color theme="1"/>
        <rFont val="Gill Sans MT"/>
        <family val="2"/>
      </rPr>
      <t>.</t>
    </r>
    <r>
      <rPr>
        <sz val="10"/>
        <color theme="1"/>
        <rFont val="Gill Sans MT"/>
        <family val="2"/>
      </rPr>
      <t xml:space="preserve"> For wall plates (4pcs), door frames (4pcs) and lintel of front windows (1pc cut into two). To be secured with langalanga to the brick walls.</t>
    </r>
  </si>
  <si>
    <r>
      <t>Provide and install Obeche Timber poles,</t>
    </r>
    <r>
      <rPr>
        <sz val="10"/>
        <color theme="1"/>
        <rFont val="Gill Sans MT"/>
        <family val="2"/>
      </rPr>
      <t xml:space="preserve"> </t>
    </r>
    <r>
      <rPr>
        <b/>
        <sz val="10"/>
        <color theme="1"/>
        <rFont val="Gill Sans MT"/>
        <family val="2"/>
      </rPr>
      <t>2x6 inches</t>
    </r>
    <r>
      <rPr>
        <sz val="10"/>
        <color theme="1"/>
        <rFont val="Gill Sans MT"/>
        <family val="2"/>
      </rPr>
      <t xml:space="preserve"> - full length min. 3m for studded poles at front veranda, pre-treated with antitermite/engine oil solution and fully</t>
    </r>
    <r>
      <rPr>
        <b/>
        <sz val="10"/>
        <color theme="1"/>
        <rFont val="Gill Sans MT"/>
        <family val="2"/>
      </rPr>
      <t xml:space="preserve"> </t>
    </r>
    <r>
      <rPr>
        <sz val="10"/>
        <color theme="1"/>
        <rFont val="Gill Sans MT"/>
        <family val="2"/>
      </rPr>
      <t>termite treated at base</t>
    </r>
    <r>
      <rPr>
        <sz val="10"/>
        <color rgb="FFFF0000"/>
        <rFont val="Gill Sans MT"/>
        <family val="2"/>
      </rPr>
      <t xml:space="preserve"> </t>
    </r>
    <r>
      <rPr>
        <sz val="10"/>
        <rFont val="Gill Sans MT"/>
        <family val="2"/>
      </rPr>
      <t>(soaked in metal drum min 900mm from base)</t>
    </r>
    <r>
      <rPr>
        <b/>
        <sz val="10"/>
        <color theme="1"/>
        <rFont val="Gill Sans MT"/>
        <family val="2"/>
      </rPr>
      <t xml:space="preserve">. </t>
    </r>
    <r>
      <rPr>
        <sz val="10"/>
        <color theme="1"/>
        <rFont val="Gill Sans MT"/>
        <family val="2"/>
      </rPr>
      <t>To be cast in sand-cement footing.</t>
    </r>
  </si>
  <si>
    <r>
      <t>Provide and install Obeche Timber poles,</t>
    </r>
    <r>
      <rPr>
        <sz val="10"/>
        <color theme="1"/>
        <rFont val="Gill Sans MT"/>
        <family val="2"/>
      </rPr>
      <t xml:space="preserve"> </t>
    </r>
    <r>
      <rPr>
        <b/>
        <sz val="10"/>
        <color theme="1"/>
        <rFont val="Gill Sans MT"/>
        <family val="2"/>
      </rPr>
      <t>2x4 inches</t>
    </r>
    <r>
      <rPr>
        <sz val="10"/>
        <color theme="1"/>
        <rFont val="Gill Sans MT"/>
        <family val="2"/>
      </rPr>
      <t xml:space="preserve"> - full length min. 3m</t>
    </r>
    <r>
      <rPr>
        <b/>
        <sz val="10"/>
        <color theme="1"/>
        <rFont val="Gill Sans MT"/>
        <family val="2"/>
      </rPr>
      <t>,</t>
    </r>
    <r>
      <rPr>
        <sz val="10"/>
        <color theme="1"/>
        <rFont val="Gill Sans MT"/>
        <family val="2"/>
      </rPr>
      <t xml:space="preserve"> pre-treated with antitermite/engine oil solution</t>
    </r>
    <r>
      <rPr>
        <b/>
        <sz val="10"/>
        <color theme="1"/>
        <rFont val="Gill Sans MT"/>
        <family val="2"/>
      </rPr>
      <t xml:space="preserve">. </t>
    </r>
    <r>
      <rPr>
        <sz val="10"/>
        <color theme="1"/>
        <rFont val="Gill Sans MT"/>
        <family val="2"/>
      </rPr>
      <t xml:space="preserve">For ridge beam (2.5 pcs); </t>
    </r>
    <r>
      <rPr>
        <sz val="10"/>
        <rFont val="Gill Sans MT"/>
        <family val="2"/>
      </rPr>
      <t xml:space="preserve">7.5pcs </t>
    </r>
    <r>
      <rPr>
        <sz val="10"/>
        <color theme="1"/>
        <rFont val="Gill Sans MT"/>
        <family val="2"/>
      </rPr>
      <t>front rafters (330cm); 5pcs back rafters (230cm); 2pcs for wall plate for front veranda; 2pcs for tie beams at trusses no. 2 and 4. 3x tie collar at trusses 1-3-5 (100 cm length) and 2 king posts of (80cm length) at trusses no. 2 and 4, to be obtained from rafters offcuts.</t>
    </r>
  </si>
  <si>
    <r>
      <t>Provide and install Obeche Timber poles,</t>
    </r>
    <r>
      <rPr>
        <sz val="10"/>
        <color theme="1"/>
        <rFont val="Gill Sans MT"/>
        <family val="2"/>
      </rPr>
      <t xml:space="preserve"> </t>
    </r>
    <r>
      <rPr>
        <b/>
        <sz val="10"/>
        <color theme="1"/>
        <rFont val="Gill Sans MT"/>
        <family val="2"/>
      </rPr>
      <t>2x3 inches</t>
    </r>
    <r>
      <rPr>
        <sz val="10"/>
        <color theme="1"/>
        <rFont val="Gill Sans MT"/>
        <family val="2"/>
      </rPr>
      <t xml:space="preserve"> - full length min. 3m</t>
    </r>
    <r>
      <rPr>
        <b/>
        <sz val="10"/>
        <color theme="1"/>
        <rFont val="Gill Sans MT"/>
        <family val="2"/>
      </rPr>
      <t xml:space="preserve">, </t>
    </r>
    <r>
      <rPr>
        <sz val="10"/>
        <color theme="1"/>
        <rFont val="Gill Sans MT"/>
        <family val="2"/>
      </rPr>
      <t>pre-treated with antitermite/engine oil solution, for 10 lines of purlins, to be nailed to rafters and secured with langalanga.</t>
    </r>
  </si>
  <si>
    <r>
      <t>Provide and install Fascia board</t>
    </r>
    <r>
      <rPr>
        <sz val="10"/>
        <color theme="1"/>
        <rFont val="Gill Sans MT"/>
        <family val="2"/>
      </rPr>
      <t xml:space="preserve">, </t>
    </r>
    <r>
      <rPr>
        <b/>
        <sz val="10"/>
        <color theme="1"/>
        <rFont val="Gill Sans MT"/>
        <family val="2"/>
      </rPr>
      <t>1x5 inches</t>
    </r>
    <r>
      <rPr>
        <sz val="10"/>
        <color theme="1"/>
        <rFont val="Gill Sans MT"/>
        <family val="2"/>
      </rPr>
      <t xml:space="preserve"> timber plank - full length min. 3m - along the whole perimeter of the roof</t>
    </r>
    <r>
      <rPr>
        <b/>
        <sz val="10"/>
        <color theme="1"/>
        <rFont val="Gill Sans MT"/>
        <family val="2"/>
      </rPr>
      <t>,</t>
    </r>
    <r>
      <rPr>
        <sz val="10"/>
        <color theme="1"/>
        <rFont val="Gill Sans MT"/>
        <family val="2"/>
      </rPr>
      <t xml:space="preserve"> pre-treated with antitermite/engine oil solution</t>
    </r>
    <r>
      <rPr>
        <b/>
        <sz val="10"/>
        <color theme="1"/>
        <rFont val="Gill Sans MT"/>
        <family val="2"/>
      </rPr>
      <t>.</t>
    </r>
  </si>
  <si>
    <r>
      <t>Provide and install Aluzinc ridge cap,</t>
    </r>
    <r>
      <rPr>
        <sz val="10"/>
        <color theme="1"/>
        <rFont val="Gill Sans MT"/>
        <family val="2"/>
      </rPr>
      <t xml:space="preserve"> 0.35mm thick * 400mm wide, blue color, folded at the centre. Overlap of minimum 250mm. Well secured with 4 cap nails over the fascia board at each gable end.</t>
    </r>
  </si>
  <si>
    <t>Setting out and Excavation of plot boundary</t>
  </si>
  <si>
    <t>Bill of Quantity - plot demarcation and planting of trees</t>
  </si>
  <si>
    <t>Quantity
(Plot A)</t>
  </si>
  <si>
    <t>Quantity
(Plot B)</t>
  </si>
  <si>
    <t>Quantity
(Plot C)</t>
  </si>
  <si>
    <t>Quantity
(Plot D)</t>
  </si>
  <si>
    <t>Quantity
(Plot E)</t>
  </si>
  <si>
    <t>Quantity
(Plot F)</t>
  </si>
  <si>
    <r>
      <rPr>
        <b/>
        <sz val="10"/>
        <rFont val="Gill Sans MT"/>
        <family val="2"/>
      </rPr>
      <t xml:space="preserve">Perimeter blockwork: </t>
    </r>
    <r>
      <rPr>
        <sz val="10"/>
        <rFont val="Gill Sans MT"/>
        <family val="2"/>
      </rPr>
      <t>Sandcrete hollow blocks 6"x 18"x 9" (150x450x230mm) bedded and jointed in cement-sand mortar (ratio 1:6 - batching is 1 cement bag for 3 wheelbarrows of sand), block holes filled with excavated soil. One course, with reinforced column at every 3m by rotating the block sideways</t>
    </r>
  </si>
  <si>
    <r>
      <rPr>
        <b/>
        <sz val="10"/>
        <rFont val="Gill Sans MT"/>
        <family val="2"/>
      </rPr>
      <t>Apply earth-based plaster</t>
    </r>
    <r>
      <rPr>
        <sz val="10"/>
        <rFont val="Gill Sans MT"/>
        <family val="2"/>
      </rPr>
      <t>, 15mm thickness, mixture of mud, boiled bitumen and used engine oil (or water-based bitumen), to be applied in at least two coats. Inclusive of all required materials for the mixture, water and labour costs. On both sides of the perimeter wall including reinforcement columns.</t>
    </r>
  </si>
  <si>
    <r>
      <rPr>
        <b/>
        <sz val="10"/>
        <rFont val="Gill Sans MT"/>
        <family val="2"/>
      </rPr>
      <t>Install purpose made door</t>
    </r>
    <r>
      <rPr>
        <sz val="10"/>
        <rFont val="Gill Sans MT"/>
        <family val="2"/>
      </rPr>
      <t xml:space="preserve"> of 2x0.9m with 2x3" timbers for door leaf, three 100mm hinges per door to fix leaf on frame, cladding with CGI sheet 0.2mm thick branded with IOM logo, internal and external latches 125mm, padlock of 0.25kg and keys.</t>
    </r>
  </si>
  <si>
    <t>Main access door</t>
  </si>
  <si>
    <r>
      <t>Provide and install Obeche Timber poles,</t>
    </r>
    <r>
      <rPr>
        <sz val="10"/>
        <color theme="1"/>
        <rFont val="Gill Sans MT"/>
        <family val="2"/>
      </rPr>
      <t xml:space="preserve"> 2x6 inches - full length min. 3m</t>
    </r>
    <r>
      <rPr>
        <b/>
        <sz val="10"/>
        <color theme="1"/>
        <rFont val="Gill Sans MT"/>
        <family val="2"/>
      </rPr>
      <t xml:space="preserve">, </t>
    </r>
    <r>
      <rPr>
        <sz val="10"/>
        <color theme="1"/>
        <rFont val="Gill Sans MT"/>
        <family val="2"/>
      </rPr>
      <t>pre-treated with antitermite/engine oil solution, for door frame. To be secured with langalanga to the brick walls.</t>
    </r>
  </si>
  <si>
    <t>Subtotal door</t>
  </si>
  <si>
    <t>E</t>
  </si>
  <si>
    <t>Total Cost</t>
  </si>
  <si>
    <t>Quantity
(Plot G)</t>
  </si>
  <si>
    <t>Perimeter wall up to 1.8m height from NGL. Leaving a 1m gap for the access door</t>
  </si>
  <si>
    <t>SN</t>
  </si>
  <si>
    <t>Shelter construction</t>
  </si>
  <si>
    <t>Plot demarcation and tree planting</t>
  </si>
  <si>
    <t>Latrine construction</t>
  </si>
  <si>
    <t>Sub-activity</t>
  </si>
  <si>
    <t>CONTRACTOR 2</t>
  </si>
  <si>
    <t>Total Cost
(GBP)</t>
  </si>
  <si>
    <t>Grand Total for 44 Family Pit Latrines and Showers</t>
  </si>
  <si>
    <t>Total Cost for plot demarcation and tree planting for 44 plots</t>
  </si>
  <si>
    <r>
      <rPr>
        <b/>
        <sz val="10"/>
        <rFont val="Gill Sans MT"/>
        <family val="2"/>
      </rPr>
      <t xml:space="preserve">Foundation footings: </t>
    </r>
    <r>
      <rPr>
        <sz val="10"/>
        <rFont val="Gill Sans MT"/>
        <family val="2"/>
      </rPr>
      <t>plain in situ sandcrete for foundations footing (ratio 1:4 of cement:sharp sand - batching 1 cement bag for 2 wheelbarrows of sharp sand).</t>
    </r>
  </si>
  <si>
    <t>Clear site, set out the plot boundary according to layout provided by IOM and Excavate foundation trench to a minimum depth of 180mm below natural ground and in width 300mm to receive the foundation footing of 50mm thick.</t>
  </si>
  <si>
    <t xml:space="preserve">Bill of Quantities for the Construction of One Family Pit Latrine and Shower - Mud brick walling  (1.2 x 0.9 x 2.15m deep pit)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</si>
</sst>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
    <numFmt numFmtId="165" formatCode="_-* #,##0_-;\-* #,##0_-;_-* &quot;-&quot;??_-;_-@_-"/>
    <numFmt numFmtId="166" formatCode="_-* #,##0.00_-;\-* #,##0.00_-;_-* &quot;-&quot;??_-;_-@_-"/>
    <numFmt numFmtId="167" formatCode="0.000"/>
    <numFmt numFmtId="168" formatCode="_-* #,##0.0_-;\-* #,##0.0_-;_-* &quot;-&quot;??_-;_-@_-"/>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14"/>
      <color theme="0"/>
      <name val="Gill Sans MT"/>
      <family val="2"/>
    </font>
    <font>
      <sz val="11"/>
      <color theme="1"/>
      <name val="Gill Sans MT"/>
      <family val="2"/>
    </font>
    <font>
      <b/>
      <i/>
      <sz val="10"/>
      <name val="Gill Sans MT"/>
      <family val="2"/>
    </font>
    <font>
      <b/>
      <i/>
      <sz val="10"/>
      <color theme="1"/>
      <name val="Gill Sans MT"/>
      <family val="2"/>
    </font>
    <font>
      <b/>
      <sz val="10"/>
      <name val="Gill Sans MT"/>
      <family val="2"/>
    </font>
    <font>
      <sz val="10"/>
      <name val="Gill Sans MT"/>
      <family val="2"/>
    </font>
    <font>
      <b/>
      <u/>
      <sz val="11"/>
      <color theme="1"/>
      <name val="Gill Sans MT"/>
      <family val="2"/>
    </font>
    <font>
      <sz val="11"/>
      <color rgb="FFFF0000"/>
      <name val="Gill Sans MT"/>
      <family val="2"/>
    </font>
    <font>
      <sz val="10"/>
      <color theme="1"/>
      <name val="Gill Sans MT"/>
      <family val="2"/>
    </font>
    <font>
      <b/>
      <sz val="10"/>
      <color theme="1"/>
      <name val="Gill Sans MT"/>
      <family val="2"/>
    </font>
    <font>
      <sz val="10"/>
      <color rgb="FFFF0000"/>
      <name val="Gill Sans MT"/>
      <family val="2"/>
    </font>
    <font>
      <b/>
      <sz val="10"/>
      <color rgb="FFFF0000"/>
      <name val="Gill Sans MT"/>
      <family val="2"/>
    </font>
    <font>
      <b/>
      <i/>
      <sz val="11"/>
      <color theme="1"/>
      <name val="Gill Sans MT"/>
      <family val="2"/>
    </font>
    <font>
      <b/>
      <sz val="11"/>
      <color theme="0"/>
      <name val="Calibri"/>
      <family val="2"/>
      <scheme val="minor"/>
    </font>
    <font>
      <b/>
      <sz val="14"/>
      <color theme="1"/>
      <name val="Times New Roman"/>
      <family val="1"/>
    </font>
    <font>
      <b/>
      <sz val="12"/>
      <color theme="1"/>
      <name val="Times New Roman"/>
      <family val="1"/>
    </font>
    <font>
      <b/>
      <sz val="12"/>
      <name val="Times New Roman"/>
      <family val="1"/>
    </font>
    <font>
      <sz val="12"/>
      <color theme="1"/>
      <name val="Times New Roman"/>
      <family val="1"/>
    </font>
    <font>
      <sz val="11"/>
      <color rgb="FF000000"/>
      <name val="Calibri"/>
      <family val="2"/>
      <scheme val="minor"/>
    </font>
    <font>
      <sz val="12"/>
      <color rgb="FFFF0000"/>
      <name val="Times New Roman"/>
      <family val="1"/>
    </font>
    <font>
      <sz val="12"/>
      <name val="Times New Roman"/>
      <family val="1"/>
    </font>
    <font>
      <sz val="12"/>
      <color indexed="8"/>
      <name val="Times New Roman"/>
      <family val="1"/>
    </font>
    <font>
      <b/>
      <sz val="12"/>
      <color indexed="8"/>
      <name val="Times New Roman"/>
      <family val="1"/>
    </font>
    <font>
      <i/>
      <sz val="10"/>
      <name val="Gill Sans MT"/>
      <family val="2"/>
    </font>
    <font>
      <sz val="11"/>
      <color rgb="FFFF0000"/>
      <name val="Calibri"/>
      <family val="2"/>
      <scheme val="minor"/>
    </font>
  </fonts>
  <fills count="14">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5" tint="0.79998168889431442"/>
        <bgColor indexed="64"/>
      </patternFill>
    </fill>
  </fills>
  <borders count="16">
    <border>
      <left/>
      <right/>
      <top/>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55">
    <xf numFmtId="0" fontId="0" fillId="0" borderId="0" xfId="0"/>
    <xf numFmtId="0" fontId="4" fillId="0" borderId="0" xfId="1" applyFont="1" applyAlignment="1">
      <alignment horizontal="center" vertical="center"/>
    </xf>
    <xf numFmtId="0" fontId="4" fillId="0" borderId="0" xfId="1" applyFont="1" applyAlignment="1">
      <alignment vertical="center"/>
    </xf>
    <xf numFmtId="0" fontId="5" fillId="3" borderId="3" xfId="1" applyFont="1" applyFill="1" applyBorder="1" applyAlignment="1">
      <alignment horizontal="center" vertical="center" wrapText="1"/>
    </xf>
    <xf numFmtId="0" fontId="5" fillId="0" borderId="4" xfId="1" applyFont="1" applyBorder="1" applyAlignment="1">
      <alignment horizontal="center" vertical="center"/>
    </xf>
    <xf numFmtId="0" fontId="5" fillId="0" borderId="3" xfId="1" applyFont="1" applyBorder="1" applyAlignment="1">
      <alignment horizontal="center" vertical="center"/>
    </xf>
    <xf numFmtId="3" fontId="8" fillId="0" borderId="5" xfId="1" applyNumberFormat="1" applyFont="1" applyBorder="1" applyAlignment="1" applyProtection="1">
      <alignment horizontal="center" vertical="center" wrapText="1"/>
      <protection locked="0"/>
    </xf>
    <xf numFmtId="4" fontId="8" fillId="0" borderId="5" xfId="1" applyNumberFormat="1" applyFont="1" applyBorder="1" applyAlignment="1" applyProtection="1">
      <alignment horizontal="left" vertical="center" wrapText="1"/>
      <protection locked="0"/>
    </xf>
    <xf numFmtId="4" fontId="8" fillId="0" borderId="5" xfId="1" applyNumberFormat="1" applyFont="1" applyBorder="1" applyAlignment="1" applyProtection="1">
      <alignment horizontal="center" vertical="center"/>
      <protection locked="0"/>
    </xf>
    <xf numFmtId="4" fontId="8" fillId="4" borderId="5" xfId="1" applyNumberFormat="1" applyFont="1" applyFill="1" applyBorder="1" applyAlignment="1" applyProtection="1">
      <alignment horizontal="center" vertical="center"/>
      <protection locked="0"/>
    </xf>
    <xf numFmtId="4" fontId="8" fillId="0" borderId="5" xfId="1" applyNumberFormat="1" applyFont="1" applyBorder="1" applyAlignment="1" applyProtection="1">
      <alignment horizontal="center" vertical="center" wrapText="1"/>
      <protection locked="0"/>
    </xf>
    <xf numFmtId="4" fontId="5" fillId="5" borderId="5" xfId="1" applyNumberFormat="1" applyFont="1" applyFill="1" applyBorder="1" applyAlignment="1" applyProtection="1">
      <alignment horizontal="left" vertical="center" wrapText="1"/>
      <protection locked="0"/>
    </xf>
    <xf numFmtId="0" fontId="5" fillId="0" borderId="3" xfId="1" applyFont="1" applyBorder="1" applyAlignment="1">
      <alignment horizontal="center" vertical="center" wrapText="1"/>
    </xf>
    <xf numFmtId="0" fontId="5" fillId="0" borderId="6" xfId="1" applyFont="1" applyBorder="1" applyAlignment="1">
      <alignment horizontal="center" vertical="center" wrapText="1"/>
    </xf>
    <xf numFmtId="0" fontId="0" fillId="0" borderId="5" xfId="0" applyBorder="1"/>
    <xf numFmtId="0" fontId="0" fillId="0" borderId="5" xfId="0" applyBorder="1" applyAlignment="1">
      <alignment wrapText="1"/>
    </xf>
    <xf numFmtId="4" fontId="8" fillId="0" borderId="5" xfId="1" applyNumberFormat="1" applyFont="1" applyBorder="1" applyAlignment="1" applyProtection="1">
      <alignment horizontal="left" vertical="center"/>
      <protection locked="0"/>
    </xf>
    <xf numFmtId="0" fontId="8" fillId="0" borderId="5" xfId="1" applyFont="1" applyBorder="1" applyAlignment="1" applyProtection="1">
      <alignment horizontal="center" vertical="center"/>
      <protection locked="0"/>
    </xf>
    <xf numFmtId="4" fontId="8" fillId="4" borderId="5" xfId="1" applyNumberFormat="1" applyFont="1" applyFill="1" applyBorder="1" applyAlignment="1" applyProtection="1">
      <alignment horizontal="center" vertical="center" wrapText="1"/>
      <protection locked="0"/>
    </xf>
    <xf numFmtId="4" fontId="7" fillId="5" borderId="5" xfId="1" applyNumberFormat="1" applyFont="1" applyFill="1" applyBorder="1" applyAlignment="1" applyProtection="1">
      <alignment horizontal="center" vertical="center" wrapText="1"/>
      <protection locked="0"/>
    </xf>
    <xf numFmtId="0" fontId="0" fillId="5" borderId="5" xfId="0" applyFill="1" applyBorder="1"/>
    <xf numFmtId="2" fontId="8" fillId="0" borderId="3" xfId="1" applyNumberFormat="1" applyFont="1" applyBorder="1" applyAlignment="1" applyProtection="1">
      <alignment horizontal="center" vertical="center"/>
      <protection locked="0"/>
    </xf>
    <xf numFmtId="0" fontId="0" fillId="0" borderId="5" xfId="0" applyBorder="1" applyAlignment="1">
      <alignment horizontal="center"/>
    </xf>
    <xf numFmtId="0" fontId="9" fillId="3" borderId="5" xfId="1" applyFont="1" applyFill="1" applyBorder="1" applyAlignment="1">
      <alignment horizontal="left" vertical="center"/>
    </xf>
    <xf numFmtId="0" fontId="0" fillId="3" borderId="5" xfId="0" applyFill="1" applyBorder="1"/>
    <xf numFmtId="4" fontId="2" fillId="3" borderId="5" xfId="0" applyNumberFormat="1" applyFont="1" applyFill="1" applyBorder="1" applyAlignment="1">
      <alignment horizontal="center"/>
    </xf>
    <xf numFmtId="4" fontId="7" fillId="0" borderId="5" xfId="1" applyNumberFormat="1" applyFont="1" applyBorder="1" applyAlignment="1" applyProtection="1">
      <alignment horizontal="center" vertical="center" wrapText="1"/>
      <protection locked="0"/>
    </xf>
    <xf numFmtId="0" fontId="10" fillId="0" borderId="0" xfId="1" applyFont="1" applyAlignment="1">
      <alignment vertical="center"/>
    </xf>
    <xf numFmtId="0" fontId="0" fillId="0" borderId="0" xfId="0" applyFill="1"/>
    <xf numFmtId="4" fontId="8" fillId="0" borderId="5" xfId="1" applyNumberFormat="1" applyFont="1" applyFill="1" applyBorder="1" applyAlignment="1" applyProtection="1">
      <alignment horizontal="center" vertical="center" wrapText="1"/>
      <protection locked="0"/>
    </xf>
    <xf numFmtId="4" fontId="8" fillId="0" borderId="5" xfId="1" applyNumberFormat="1" applyFont="1" applyFill="1" applyBorder="1" applyAlignment="1" applyProtection="1">
      <alignment horizontal="center" vertical="center"/>
      <protection locked="0"/>
    </xf>
    <xf numFmtId="0" fontId="8" fillId="0" borderId="5" xfId="1" applyFont="1" applyBorder="1" applyAlignment="1" applyProtection="1">
      <alignment vertical="center" wrapText="1"/>
      <protection locked="0"/>
    </xf>
    <xf numFmtId="4" fontId="7" fillId="5" borderId="5" xfId="1" applyNumberFormat="1" applyFont="1" applyFill="1" applyBorder="1" applyAlignment="1" applyProtection="1">
      <alignment horizontal="left" vertical="center" wrapText="1"/>
      <protection locked="0"/>
    </xf>
    <xf numFmtId="0" fontId="7" fillId="5" borderId="5" xfId="1" applyFont="1" applyFill="1" applyBorder="1" applyAlignment="1">
      <alignment horizontal="left" vertical="center"/>
    </xf>
    <xf numFmtId="4" fontId="8" fillId="0" borderId="13" xfId="1" applyNumberFormat="1" applyFont="1" applyBorder="1" applyAlignment="1" applyProtection="1">
      <alignment horizontal="center" vertical="center" wrapText="1"/>
      <protection locked="0"/>
    </xf>
    <xf numFmtId="4" fontId="8" fillId="0" borderId="13" xfId="1" applyNumberFormat="1" applyFont="1" applyBorder="1" applyAlignment="1" applyProtection="1">
      <alignment horizontal="center" vertical="center"/>
      <protection locked="0"/>
    </xf>
    <xf numFmtId="0" fontId="11" fillId="0" borderId="5" xfId="0" applyFont="1" applyBorder="1" applyAlignment="1">
      <alignment horizontal="center" vertical="center" wrapText="1"/>
    </xf>
    <xf numFmtId="0" fontId="12" fillId="0" borderId="5" xfId="0" applyFont="1" applyBorder="1" applyAlignment="1">
      <alignment vertical="center" wrapText="1"/>
    </xf>
    <xf numFmtId="0" fontId="11" fillId="0" borderId="5" xfId="0" applyFont="1" applyBorder="1" applyAlignment="1">
      <alignment horizontal="center" vertical="center"/>
    </xf>
    <xf numFmtId="4" fontId="8" fillId="6" borderId="5" xfId="1" applyNumberFormat="1" applyFont="1" applyFill="1" applyBorder="1" applyAlignment="1" applyProtection="1">
      <alignment horizontal="center" vertical="center" wrapText="1"/>
      <protection locked="0"/>
    </xf>
    <xf numFmtId="4" fontId="8" fillId="6" borderId="5" xfId="1" applyNumberFormat="1" applyFont="1" applyFill="1" applyBorder="1" applyAlignment="1" applyProtection="1">
      <alignment horizontal="center" vertical="center"/>
      <protection locked="0"/>
    </xf>
    <xf numFmtId="4" fontId="8" fillId="6" borderId="5" xfId="1" applyNumberFormat="1" applyFont="1" applyFill="1" applyBorder="1" applyAlignment="1" applyProtection="1">
      <alignment horizontal="left" vertical="center" wrapText="1"/>
      <protection locked="0"/>
    </xf>
    <xf numFmtId="4" fontId="8" fillId="6" borderId="13" xfId="1" applyNumberFormat="1" applyFont="1" applyFill="1" applyBorder="1" applyAlignment="1" applyProtection="1">
      <alignment horizontal="center" vertical="center" wrapText="1"/>
      <protection locked="0"/>
    </xf>
    <xf numFmtId="0" fontId="12" fillId="6" borderId="5" xfId="0" applyFont="1" applyFill="1" applyBorder="1" applyAlignment="1">
      <alignment vertical="center" wrapText="1"/>
    </xf>
    <xf numFmtId="0" fontId="11" fillId="6" borderId="5" xfId="0" applyFont="1" applyFill="1" applyBorder="1" applyAlignment="1">
      <alignment horizontal="center" vertical="center"/>
    </xf>
    <xf numFmtId="3" fontId="8" fillId="6" borderId="5" xfId="1" applyNumberFormat="1" applyFont="1" applyFill="1" applyBorder="1" applyAlignment="1" applyProtection="1">
      <alignment horizontal="center" vertical="center" wrapText="1"/>
      <protection locked="0"/>
    </xf>
    <xf numFmtId="4" fontId="5" fillId="7" borderId="5" xfId="1" applyNumberFormat="1" applyFont="1" applyFill="1" applyBorder="1" applyAlignment="1" applyProtection="1">
      <alignment horizontal="left" vertical="center" wrapText="1"/>
      <protection locked="0"/>
    </xf>
    <xf numFmtId="0" fontId="0" fillId="7" borderId="5" xfId="0" applyFill="1" applyBorder="1"/>
    <xf numFmtId="4" fontId="7" fillId="7" borderId="5" xfId="1" applyNumberFormat="1" applyFont="1" applyFill="1" applyBorder="1" applyAlignment="1" applyProtection="1">
      <alignment horizontal="center" vertical="center" wrapText="1"/>
      <protection locked="0"/>
    </xf>
    <xf numFmtId="4" fontId="8" fillId="7" borderId="5" xfId="1" applyNumberFormat="1" applyFont="1" applyFill="1" applyBorder="1" applyAlignment="1" applyProtection="1">
      <alignment horizontal="center" vertical="center" wrapText="1"/>
      <protection locked="0"/>
    </xf>
    <xf numFmtId="4" fontId="8" fillId="7" borderId="5" xfId="1" applyNumberFormat="1" applyFont="1" applyFill="1" applyBorder="1" applyAlignment="1" applyProtection="1">
      <alignment horizontal="left" vertical="center" wrapText="1"/>
      <protection locked="0"/>
    </xf>
    <xf numFmtId="4" fontId="7" fillId="7" borderId="5" xfId="1" applyNumberFormat="1" applyFont="1" applyFill="1" applyBorder="1" applyAlignment="1" applyProtection="1">
      <alignment horizontal="center" vertical="center"/>
      <protection locked="0"/>
    </xf>
    <xf numFmtId="4" fontId="8" fillId="7" borderId="5" xfId="1" applyNumberFormat="1" applyFont="1" applyFill="1" applyBorder="1" applyAlignment="1" applyProtection="1">
      <alignment horizontal="center" vertical="center"/>
      <protection locked="0"/>
    </xf>
    <xf numFmtId="4" fontId="13" fillId="0" borderId="5" xfId="1" applyNumberFormat="1" applyFont="1" applyBorder="1" applyAlignment="1" applyProtection="1">
      <alignment horizontal="left" vertical="center" wrapText="1"/>
      <protection locked="0"/>
    </xf>
    <xf numFmtId="0" fontId="12" fillId="8" borderId="5" xfId="0" applyFont="1" applyFill="1" applyBorder="1" applyAlignment="1">
      <alignment vertical="center" wrapText="1"/>
    </xf>
    <xf numFmtId="3" fontId="7" fillId="0" borderId="5" xfId="1" applyNumberFormat="1" applyFont="1" applyBorder="1" applyAlignment="1" applyProtection="1">
      <alignment horizontal="center" vertical="center" wrapText="1"/>
      <protection locked="0"/>
    </xf>
    <xf numFmtId="0" fontId="0" fillId="0" borderId="0" xfId="0" applyFill="1" applyAlignment="1">
      <alignment wrapText="1"/>
    </xf>
    <xf numFmtId="4" fontId="8" fillId="0" borderId="5" xfId="1" applyNumberFormat="1" applyFont="1" applyFill="1" applyBorder="1" applyAlignment="1" applyProtection="1">
      <alignment horizontal="left" vertical="center" wrapText="1"/>
      <protection locked="0"/>
    </xf>
    <xf numFmtId="0" fontId="12" fillId="0" borderId="5" xfId="0" applyFont="1" applyFill="1" applyBorder="1" applyAlignment="1">
      <alignment vertical="center" wrapText="1"/>
    </xf>
    <xf numFmtId="4" fontId="8" fillId="8" borderId="5" xfId="1" applyNumberFormat="1" applyFont="1" applyFill="1" applyBorder="1" applyAlignment="1" applyProtection="1">
      <alignment horizontal="center" vertical="center" wrapText="1"/>
      <protection locked="0"/>
    </xf>
    <xf numFmtId="0" fontId="11" fillId="8" borderId="5" xfId="0" applyFont="1" applyFill="1" applyBorder="1" applyAlignment="1">
      <alignment horizontal="center" vertical="center"/>
    </xf>
    <xf numFmtId="4" fontId="8" fillId="8" borderId="13" xfId="1" applyNumberFormat="1" applyFont="1" applyFill="1" applyBorder="1" applyAlignment="1" applyProtection="1">
      <alignment horizontal="center" vertical="center" wrapText="1"/>
      <protection locked="0"/>
    </xf>
    <xf numFmtId="164" fontId="8" fillId="0" borderId="5" xfId="1" applyNumberFormat="1" applyFont="1" applyBorder="1" applyAlignment="1" applyProtection="1">
      <alignment horizontal="center" vertical="center"/>
      <protection locked="0"/>
    </xf>
    <xf numFmtId="0" fontId="11" fillId="0" borderId="5" xfId="0" applyFont="1" applyFill="1" applyBorder="1" applyAlignment="1">
      <alignment horizontal="center" vertical="center"/>
    </xf>
    <xf numFmtId="4" fontId="8" fillId="0" borderId="13" xfId="1"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4" fontId="5" fillId="0" borderId="5" xfId="1" applyNumberFormat="1" applyFont="1" applyFill="1" applyBorder="1" applyAlignment="1" applyProtection="1">
      <alignment horizontal="left" vertical="center" wrapText="1"/>
      <protection locked="0"/>
    </xf>
    <xf numFmtId="0" fontId="0" fillId="0" borderId="5" xfId="0" applyFill="1" applyBorder="1"/>
    <xf numFmtId="4" fontId="7" fillId="0" borderId="5" xfId="1" applyNumberFormat="1" applyFont="1" applyFill="1" applyBorder="1" applyAlignment="1" applyProtection="1">
      <alignment horizontal="center" vertical="center" wrapText="1"/>
      <protection locked="0"/>
    </xf>
    <xf numFmtId="4" fontId="2" fillId="3" borderId="5" xfId="0" applyNumberFormat="1" applyFont="1" applyFill="1" applyBorder="1" applyAlignment="1">
      <alignment horizontal="center" vertical="center"/>
    </xf>
    <xf numFmtId="0" fontId="0" fillId="3" borderId="5" xfId="0" applyFill="1" applyBorder="1" applyAlignment="1">
      <alignment vertical="center"/>
    </xf>
    <xf numFmtId="0" fontId="15" fillId="3" borderId="5" xfId="1" applyFont="1" applyFill="1" applyBorder="1" applyAlignment="1">
      <alignment horizontal="left" vertical="center"/>
    </xf>
    <xf numFmtId="0" fontId="2" fillId="3" borderId="5" xfId="0" applyFont="1" applyFill="1" applyBorder="1" applyAlignment="1">
      <alignment horizontal="right" vertical="center"/>
    </xf>
    <xf numFmtId="0" fontId="2" fillId="0" borderId="0" xfId="0" applyFont="1" applyAlignment="1">
      <alignment horizontal="right"/>
    </xf>
    <xf numFmtId="0" fontId="18" fillId="6" borderId="5" xfId="0" applyFont="1" applyFill="1" applyBorder="1" applyAlignment="1">
      <alignment horizontal="center" vertical="center" wrapText="1"/>
    </xf>
    <xf numFmtId="165" fontId="18" fillId="6" borderId="5" xfId="2" applyNumberFormat="1" applyFont="1" applyFill="1" applyBorder="1" applyAlignment="1">
      <alignment horizontal="center" vertical="center" wrapText="1"/>
    </xf>
    <xf numFmtId="165" fontId="18" fillId="6" borderId="5" xfId="0" applyNumberFormat="1" applyFont="1" applyFill="1" applyBorder="1" applyAlignment="1">
      <alignment horizontal="center" vertical="center" wrapText="1"/>
    </xf>
    <xf numFmtId="165" fontId="19" fillId="6" borderId="5" xfId="0" applyNumberFormat="1" applyFont="1" applyFill="1" applyBorder="1" applyAlignment="1">
      <alignment horizontal="center" vertical="center" wrapText="1"/>
    </xf>
    <xf numFmtId="0" fontId="16" fillId="6" borderId="5" xfId="0" applyFont="1" applyFill="1" applyBorder="1" applyAlignment="1">
      <alignment horizontal="center" vertical="center" wrapText="1"/>
    </xf>
    <xf numFmtId="0" fontId="18" fillId="6" borderId="5" xfId="0" applyFont="1" applyFill="1" applyBorder="1" applyAlignment="1">
      <alignment horizontal="center" vertical="center"/>
    </xf>
    <xf numFmtId="0" fontId="18" fillId="6" borderId="5" xfId="0" applyFont="1" applyFill="1" applyBorder="1" applyAlignment="1">
      <alignment vertical="center" wrapText="1"/>
    </xf>
    <xf numFmtId="0" fontId="18" fillId="6" borderId="5" xfId="0" applyFont="1" applyFill="1" applyBorder="1" applyAlignment="1">
      <alignment wrapText="1"/>
    </xf>
    <xf numFmtId="0" fontId="20" fillId="6" borderId="5" xfId="0" applyFont="1" applyFill="1" applyBorder="1" applyAlignment="1">
      <alignment horizontal="center" vertical="center"/>
    </xf>
    <xf numFmtId="0" fontId="20" fillId="6" borderId="5" xfId="0" applyFont="1" applyFill="1" applyBorder="1" applyAlignment="1">
      <alignment vertical="center" wrapText="1"/>
    </xf>
    <xf numFmtId="2" fontId="20" fillId="9" borderId="5" xfId="0" applyNumberFormat="1" applyFont="1" applyFill="1" applyBorder="1" applyAlignment="1">
      <alignment horizontal="center" vertical="center"/>
    </xf>
    <xf numFmtId="0" fontId="21" fillId="10" borderId="5" xfId="0" applyFont="1" applyFill="1" applyBorder="1" applyAlignment="1">
      <alignment horizontal="center" vertical="center" wrapText="1"/>
    </xf>
    <xf numFmtId="165" fontId="20" fillId="6" borderId="5" xfId="2" applyNumberFormat="1" applyFont="1" applyFill="1" applyBorder="1" applyAlignment="1">
      <alignment vertical="center"/>
    </xf>
    <xf numFmtId="166" fontId="20" fillId="6" borderId="5" xfId="0" applyNumberFormat="1" applyFont="1" applyFill="1" applyBorder="1" applyAlignment="1">
      <alignment vertical="center"/>
    </xf>
    <xf numFmtId="166" fontId="22" fillId="6" borderId="5" xfId="0" applyNumberFormat="1" applyFont="1" applyFill="1" applyBorder="1" applyAlignment="1">
      <alignment vertical="center"/>
    </xf>
    <xf numFmtId="166" fontId="23" fillId="6" borderId="5" xfId="0" applyNumberFormat="1" applyFont="1" applyFill="1" applyBorder="1" applyAlignment="1">
      <alignment vertical="center" wrapText="1"/>
    </xf>
    <xf numFmtId="0" fontId="21" fillId="11" borderId="5" xfId="0" applyFont="1" applyFill="1" applyBorder="1" applyAlignment="1">
      <alignment horizontal="center" vertical="center" wrapText="1"/>
    </xf>
    <xf numFmtId="166" fontId="18" fillId="6" borderId="5" xfId="2" applyNumberFormat="1" applyFont="1" applyFill="1" applyBorder="1" applyAlignment="1">
      <alignment vertical="center"/>
    </xf>
    <xf numFmtId="167" fontId="23" fillId="9" borderId="5" xfId="0" applyNumberFormat="1" applyFont="1" applyFill="1" applyBorder="1" applyAlignment="1">
      <alignment horizontal="center" vertical="center"/>
    </xf>
    <xf numFmtId="165" fontId="20" fillId="6" borderId="5" xfId="0" applyNumberFormat="1" applyFont="1" applyFill="1" applyBorder="1" applyAlignment="1">
      <alignment vertical="center"/>
    </xf>
    <xf numFmtId="165" fontId="22" fillId="6" borderId="5" xfId="0" applyNumberFormat="1" applyFont="1" applyFill="1" applyBorder="1" applyAlignment="1">
      <alignment vertical="center"/>
    </xf>
    <xf numFmtId="0" fontId="23" fillId="6" borderId="5" xfId="0" applyFont="1" applyFill="1" applyBorder="1" applyAlignment="1">
      <alignment vertical="center" wrapText="1"/>
    </xf>
    <xf numFmtId="0" fontId="20" fillId="9" borderId="5" xfId="0" applyFont="1" applyFill="1" applyBorder="1" applyAlignment="1">
      <alignment horizontal="center" vertical="center"/>
    </xf>
    <xf numFmtId="0" fontId="24" fillId="6" borderId="5" xfId="0" applyFont="1" applyFill="1" applyBorder="1" applyAlignment="1">
      <alignment vertical="center" wrapText="1"/>
    </xf>
    <xf numFmtId="165" fontId="22" fillId="6" borderId="5" xfId="0" applyNumberFormat="1" applyFont="1" applyFill="1" applyBorder="1" applyAlignment="1">
      <alignment vertical="center" wrapText="1"/>
    </xf>
    <xf numFmtId="0" fontId="24" fillId="0" borderId="5" xfId="0" applyFont="1" applyBorder="1" applyAlignment="1">
      <alignment vertical="center" wrapText="1"/>
    </xf>
    <xf numFmtId="165" fontId="23" fillId="6" borderId="5" xfId="0" applyNumberFormat="1" applyFont="1" applyFill="1" applyBorder="1" applyAlignment="1">
      <alignment vertical="center" wrapText="1"/>
    </xf>
    <xf numFmtId="0" fontId="19" fillId="6" borderId="5" xfId="0" applyFont="1" applyFill="1" applyBorder="1" applyAlignment="1">
      <alignment vertical="center" wrapText="1"/>
    </xf>
    <xf numFmtId="165" fontId="18" fillId="6" borderId="5" xfId="2" applyNumberFormat="1" applyFont="1" applyFill="1" applyBorder="1" applyAlignment="1">
      <alignment vertical="center"/>
    </xf>
    <xf numFmtId="0" fontId="23" fillId="9" borderId="5" xfId="0" applyFont="1" applyFill="1" applyBorder="1" applyAlignment="1">
      <alignment horizontal="center" vertical="center"/>
    </xf>
    <xf numFmtId="168" fontId="20" fillId="6" borderId="5" xfId="0" applyNumberFormat="1" applyFont="1" applyFill="1" applyBorder="1" applyAlignment="1">
      <alignment horizontal="left" vertical="center"/>
    </xf>
    <xf numFmtId="168" fontId="23" fillId="6" borderId="5" xfId="0" applyNumberFormat="1" applyFont="1" applyFill="1" applyBorder="1" applyAlignment="1">
      <alignment horizontal="left" vertical="center" wrapText="1"/>
    </xf>
    <xf numFmtId="0" fontId="23" fillId="0" borderId="5" xfId="0" applyFont="1" applyBorder="1" applyAlignment="1">
      <alignment vertical="center" wrapText="1"/>
    </xf>
    <xf numFmtId="2" fontId="23" fillId="9" borderId="5" xfId="0" applyNumberFormat="1" applyFont="1" applyFill="1" applyBorder="1" applyAlignment="1">
      <alignment horizontal="center" vertical="center"/>
    </xf>
    <xf numFmtId="168" fontId="20" fillId="6" borderId="5" xfId="0" applyNumberFormat="1" applyFont="1" applyFill="1" applyBorder="1" applyAlignment="1">
      <alignment vertical="center"/>
    </xf>
    <xf numFmtId="168" fontId="20" fillId="0" borderId="5" xfId="0" applyNumberFormat="1" applyFont="1" applyBorder="1" applyAlignment="1">
      <alignment vertical="center"/>
    </xf>
    <xf numFmtId="168" fontId="22" fillId="6" borderId="5" xfId="0" applyNumberFormat="1" applyFont="1" applyFill="1" applyBorder="1" applyAlignment="1">
      <alignment vertical="center"/>
    </xf>
    <xf numFmtId="168" fontId="23" fillId="0" borderId="5" xfId="0" applyNumberFormat="1" applyFont="1" applyBorder="1" applyAlignment="1">
      <alignment vertical="center" wrapText="1"/>
    </xf>
    <xf numFmtId="168" fontId="22" fillId="0" borderId="5" xfId="0" applyNumberFormat="1" applyFont="1" applyBorder="1" applyAlignment="1">
      <alignment vertical="center" wrapText="1"/>
    </xf>
    <xf numFmtId="165" fontId="18" fillId="6" borderId="5" xfId="0" applyNumberFormat="1" applyFont="1" applyFill="1" applyBorder="1" applyAlignment="1">
      <alignment vertical="center"/>
    </xf>
    <xf numFmtId="168" fontId="18" fillId="6" borderId="5" xfId="0" applyNumberFormat="1" applyFont="1" applyFill="1" applyBorder="1" applyAlignment="1">
      <alignment vertical="center"/>
    </xf>
    <xf numFmtId="0" fontId="2" fillId="0" borderId="5" xfId="0" applyFont="1" applyBorder="1" applyAlignment="1">
      <alignment horizontal="center" vertical="center"/>
    </xf>
    <xf numFmtId="165" fontId="2" fillId="0" borderId="5" xfId="2" applyNumberFormat="1" applyFont="1" applyFill="1" applyBorder="1" applyAlignment="1">
      <alignment vertical="center"/>
    </xf>
    <xf numFmtId="165" fontId="2" fillId="0" borderId="5" xfId="0" applyNumberFormat="1" applyFont="1" applyBorder="1" applyAlignment="1">
      <alignment vertical="center"/>
    </xf>
    <xf numFmtId="0" fontId="0" fillId="5" borderId="5" xfId="0" applyFill="1" applyBorder="1" applyAlignment="1">
      <alignment horizontal="center" vertical="center"/>
    </xf>
    <xf numFmtId="165" fontId="1" fillId="5" borderId="5" xfId="2" applyNumberFormat="1" applyFill="1" applyBorder="1" applyAlignment="1">
      <alignment vertical="center"/>
    </xf>
    <xf numFmtId="165" fontId="0" fillId="5" borderId="5" xfId="0" applyNumberFormat="1" applyFill="1" applyBorder="1" applyAlignment="1">
      <alignment vertical="center"/>
    </xf>
    <xf numFmtId="0" fontId="4" fillId="8" borderId="0" xfId="1" applyFont="1" applyFill="1" applyAlignment="1">
      <alignment horizontal="center" vertical="center"/>
    </xf>
    <xf numFmtId="0" fontId="26" fillId="0" borderId="3" xfId="1" applyFont="1" applyBorder="1" applyAlignment="1">
      <alignment horizontal="center" vertical="center"/>
    </xf>
    <xf numFmtId="0" fontId="23" fillId="0" borderId="5" xfId="0" applyFont="1" applyFill="1" applyBorder="1" applyAlignment="1">
      <alignment vertical="center" wrapText="1"/>
    </xf>
    <xf numFmtId="0" fontId="24" fillId="0" borderId="5" xfId="0" applyFont="1" applyFill="1" applyBorder="1" applyAlignment="1">
      <alignment vertical="center" wrapText="1"/>
    </xf>
    <xf numFmtId="0" fontId="18" fillId="8" borderId="5" xfId="0" applyFont="1" applyFill="1" applyBorder="1" applyAlignment="1">
      <alignment vertical="center" wrapText="1"/>
    </xf>
    <xf numFmtId="0" fontId="2" fillId="8" borderId="5" xfId="0" applyFont="1" applyFill="1" applyBorder="1" applyAlignment="1">
      <alignment horizontal="center" vertical="center"/>
    </xf>
    <xf numFmtId="4" fontId="7" fillId="0" borderId="5" xfId="1" applyNumberFormat="1" applyFont="1" applyBorder="1" applyAlignment="1" applyProtection="1">
      <alignment horizontal="center" vertical="center"/>
      <protection locked="0"/>
    </xf>
    <xf numFmtId="43" fontId="2" fillId="0" borderId="0" xfId="3" applyFont="1" applyAlignment="1">
      <alignment horizontal="center"/>
    </xf>
    <xf numFmtId="0" fontId="5" fillId="3" borderId="5" xfId="1" applyFont="1" applyFill="1" applyBorder="1" applyAlignment="1">
      <alignment horizontal="center" vertical="center" wrapText="1"/>
    </xf>
    <xf numFmtId="0" fontId="0" fillId="0" borderId="5" xfId="0" applyFont="1" applyBorder="1" applyAlignment="1">
      <alignment horizontal="center"/>
    </xf>
    <xf numFmtId="4" fontId="0" fillId="0" borderId="5" xfId="0" applyNumberFormat="1" applyBorder="1" applyAlignment="1">
      <alignment vertical="center"/>
    </xf>
    <xf numFmtId="43" fontId="0" fillId="0" borderId="5" xfId="3" applyFont="1" applyBorder="1" applyAlignment="1">
      <alignment vertical="center"/>
    </xf>
    <xf numFmtId="43" fontId="0" fillId="0" borderId="5" xfId="3" applyFont="1" applyBorder="1"/>
    <xf numFmtId="0" fontId="27" fillId="0" borderId="0" xfId="0" applyFont="1"/>
    <xf numFmtId="4" fontId="2" fillId="0" borderId="5" xfId="0" applyNumberFormat="1" applyFont="1" applyBorder="1"/>
    <xf numFmtId="4" fontId="0" fillId="0" borderId="0" xfId="0" applyNumberFormat="1"/>
    <xf numFmtId="9" fontId="0" fillId="0" borderId="0" xfId="4" applyFont="1"/>
    <xf numFmtId="0" fontId="5" fillId="3" borderId="7" xfId="1" applyFont="1" applyFill="1" applyBorder="1" applyAlignment="1">
      <alignment horizontal="center" vertical="center"/>
    </xf>
    <xf numFmtId="0" fontId="5" fillId="3" borderId="8" xfId="1" applyFont="1" applyFill="1" applyBorder="1" applyAlignment="1">
      <alignment horizontal="center" vertical="center"/>
    </xf>
    <xf numFmtId="0" fontId="3" fillId="2" borderId="0" xfId="1" applyFont="1" applyFill="1" applyAlignment="1">
      <alignment horizontal="center" vertical="center"/>
    </xf>
    <xf numFmtId="0" fontId="5" fillId="3" borderId="1" xfId="1" applyFont="1" applyFill="1" applyBorder="1" applyAlignment="1">
      <alignment horizontal="center" vertical="center"/>
    </xf>
    <xf numFmtId="0" fontId="5" fillId="3" borderId="2" xfId="1" applyFont="1" applyFill="1" applyBorder="1" applyAlignment="1">
      <alignment horizontal="center" vertical="center"/>
    </xf>
    <xf numFmtId="0" fontId="5" fillId="3" borderId="11"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11" xfId="1" applyFont="1" applyFill="1" applyBorder="1" applyAlignment="1">
      <alignment horizontal="center" vertical="center" wrapText="1"/>
    </xf>
    <xf numFmtId="0" fontId="6" fillId="3" borderId="9" xfId="1" applyFont="1" applyFill="1" applyBorder="1" applyAlignment="1">
      <alignment horizontal="center" vertical="center"/>
    </xf>
    <xf numFmtId="0" fontId="6" fillId="3" borderId="10" xfId="1" applyFont="1" applyFill="1" applyBorder="1" applyAlignment="1">
      <alignment horizontal="center" vertical="center"/>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12" borderId="5" xfId="0" applyFont="1" applyFill="1" applyBorder="1" applyAlignment="1">
      <alignment horizontal="center"/>
    </xf>
    <xf numFmtId="0" fontId="2" fillId="13" borderId="5" xfId="0" applyFont="1" applyFill="1" applyBorder="1" applyAlignment="1">
      <alignment horizontal="center"/>
    </xf>
    <xf numFmtId="0" fontId="2" fillId="4" borderId="5" xfId="0" applyFont="1" applyFill="1" applyBorder="1" applyAlignment="1">
      <alignment horizontal="center"/>
    </xf>
  </cellXfs>
  <cellStyles count="5">
    <cellStyle name="Comma" xfId="3" builtinId="3"/>
    <cellStyle name="Comma 3" xfId="2" xr:uid="{F0609BA0-142E-4BCB-89DA-54C4924C257F}"/>
    <cellStyle name="Normal" xfId="0" builtinId="0"/>
    <cellStyle name="Normal 2 2" xfId="1" xr:uid="{C3EF7DAC-921A-4D0D-8578-542E5D3ADD75}"/>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C5251-67C6-463E-B3BE-B3BF32D51729}">
  <dimension ref="A1:O59"/>
  <sheetViews>
    <sheetView zoomScaleNormal="100" workbookViewId="0">
      <selection activeCell="H6" sqref="H6:H45"/>
    </sheetView>
  </sheetViews>
  <sheetFormatPr defaultRowHeight="14.5" x14ac:dyDescent="0.35"/>
  <cols>
    <col min="1" max="1" width="3.6328125" customWidth="1"/>
    <col min="2" max="2" width="72.08984375" customWidth="1"/>
    <col min="3" max="3" width="5.54296875" customWidth="1"/>
    <col min="4" max="7" width="9" customWidth="1"/>
    <col min="8" max="8" width="9.90625" customWidth="1"/>
    <col min="9" max="9" width="13" customWidth="1"/>
    <col min="10" max="10" width="9.90625" customWidth="1"/>
    <col min="11" max="11" width="11.26953125" customWidth="1"/>
    <col min="12" max="12" width="70.08984375" customWidth="1"/>
  </cols>
  <sheetData>
    <row r="1" spans="1:15" ht="21" x14ac:dyDescent="0.35">
      <c r="A1" s="140" t="s">
        <v>85</v>
      </c>
      <c r="B1" s="140"/>
      <c r="C1" s="140"/>
      <c r="D1" s="140"/>
      <c r="E1" s="140"/>
      <c r="F1" s="140"/>
      <c r="G1" s="140"/>
      <c r="H1" s="140"/>
      <c r="I1" s="140"/>
      <c r="J1" s="140"/>
      <c r="K1" s="140"/>
      <c r="L1" s="140"/>
    </row>
    <row r="2" spans="1:15" ht="16.5" customHeight="1" thickBot="1" x14ac:dyDescent="0.4">
      <c r="A2" s="1"/>
      <c r="B2" s="2"/>
      <c r="C2" s="2"/>
      <c r="D2" s="121">
        <v>3</v>
      </c>
      <c r="E2" s="121">
        <v>11</v>
      </c>
      <c r="F2" s="121">
        <v>12</v>
      </c>
      <c r="G2" s="2"/>
      <c r="H2" s="2"/>
      <c r="I2" s="2"/>
      <c r="J2" s="2"/>
      <c r="K2" s="2"/>
      <c r="L2" s="27">
        <v>414.89</v>
      </c>
    </row>
    <row r="3" spans="1:15" ht="16" x14ac:dyDescent="0.35">
      <c r="A3" s="141" t="s">
        <v>0</v>
      </c>
      <c r="B3" s="143" t="s">
        <v>1</v>
      </c>
      <c r="C3" s="143" t="s">
        <v>2</v>
      </c>
      <c r="D3" s="145" t="s">
        <v>95</v>
      </c>
      <c r="E3" s="145" t="s">
        <v>96</v>
      </c>
      <c r="F3" s="145" t="s">
        <v>97</v>
      </c>
      <c r="G3" s="145" t="s">
        <v>146</v>
      </c>
      <c r="H3" s="146" t="s">
        <v>3</v>
      </c>
      <c r="I3" s="147"/>
      <c r="J3" s="146" t="s">
        <v>4</v>
      </c>
      <c r="K3" s="147"/>
      <c r="L3" s="138" t="s">
        <v>5</v>
      </c>
    </row>
    <row r="4" spans="1:15" ht="32" x14ac:dyDescent="0.35">
      <c r="A4" s="142"/>
      <c r="B4" s="144"/>
      <c r="C4" s="144"/>
      <c r="D4" s="144"/>
      <c r="E4" s="144"/>
      <c r="F4" s="144"/>
      <c r="G4" s="144"/>
      <c r="H4" s="3" t="s">
        <v>6</v>
      </c>
      <c r="I4" s="3" t="s">
        <v>7</v>
      </c>
      <c r="J4" s="3" t="s">
        <v>8</v>
      </c>
      <c r="K4" s="3" t="s">
        <v>9</v>
      </c>
      <c r="L4" s="139"/>
      <c r="O4" s="56"/>
    </row>
    <row r="5" spans="1:15" ht="18" customHeight="1" x14ac:dyDescent="0.35">
      <c r="A5" s="4" t="s">
        <v>41</v>
      </c>
      <c r="B5" s="33" t="s">
        <v>40</v>
      </c>
      <c r="C5" s="5"/>
      <c r="D5" s="5"/>
      <c r="E5" s="5"/>
      <c r="F5" s="5"/>
      <c r="G5" s="5"/>
      <c r="H5" s="5"/>
      <c r="I5" s="5"/>
      <c r="J5" s="5"/>
      <c r="K5" s="5"/>
      <c r="L5" s="5"/>
    </row>
    <row r="6" spans="1:15" ht="67.5" customHeight="1" x14ac:dyDescent="0.35">
      <c r="A6" s="45">
        <v>1</v>
      </c>
      <c r="B6" s="41" t="s">
        <v>145</v>
      </c>
      <c r="C6" s="8" t="s">
        <v>17</v>
      </c>
      <c r="D6" s="30">
        <f>0.305*0.3*(23.7+9.15)+(0.2*0.1*0.6)*5</f>
        <v>3.0657749999999999</v>
      </c>
      <c r="E6" s="30">
        <f>0.305*0.3*(42.5+15.3)+(0.2*0.1*0.6)*10</f>
        <v>5.4086999999999996</v>
      </c>
      <c r="F6" s="30">
        <f>0.305*0.3*(61+21.6)+(0.2*0.1*0.6)*14</f>
        <v>7.7258999999999993</v>
      </c>
      <c r="G6" s="127">
        <f>D6*$D$2+E6*$E$2+F6*$F$2</f>
        <v>161.40382499999998</v>
      </c>
      <c r="H6" s="9"/>
      <c r="I6" s="10">
        <f>G6*H6</f>
        <v>0</v>
      </c>
      <c r="J6" s="10">
        <f t="shared" ref="J6:J7" si="0">H6/$L$2</f>
        <v>0</v>
      </c>
      <c r="K6" s="10">
        <f>G6*J6</f>
        <v>0</v>
      </c>
      <c r="L6" s="7"/>
      <c r="M6" s="28"/>
    </row>
    <row r="7" spans="1:15" ht="66.5" customHeight="1" x14ac:dyDescent="0.35">
      <c r="A7" s="45">
        <v>2</v>
      </c>
      <c r="B7" s="41" t="s">
        <v>73</v>
      </c>
      <c r="C7" s="8" t="s">
        <v>17</v>
      </c>
      <c r="D7" s="30">
        <f>(9*2)*0.25+(1.2*6.15)*0.1+(22.5*0.15*0.25)</f>
        <v>6.0817499999999995</v>
      </c>
      <c r="E7" s="30">
        <f>(9*4)*0.25+(1.2*6.15*2)*0.1+(42.5*0.15*0.25)</f>
        <v>12.069749999999999</v>
      </c>
      <c r="F7" s="30">
        <f>(9*6)*0.25+(1.2*9.3*2)*0.1+(61*0.15*0.25)</f>
        <v>18.019500000000001</v>
      </c>
      <c r="G7" s="127">
        <f>D7*$D$2+E7*$E$2+F7*$F$2</f>
        <v>367.24649999999997</v>
      </c>
      <c r="H7" s="9"/>
      <c r="I7" s="10">
        <f>G7*H7</f>
        <v>0</v>
      </c>
      <c r="J7" s="10">
        <f t="shared" si="0"/>
        <v>0</v>
      </c>
      <c r="K7" s="10">
        <f>G7*J7</f>
        <v>0</v>
      </c>
      <c r="L7" s="7"/>
      <c r="M7" s="28"/>
    </row>
    <row r="8" spans="1:15" ht="16" x14ac:dyDescent="0.35">
      <c r="A8" s="55" t="s">
        <v>150</v>
      </c>
      <c r="B8" s="33" t="s">
        <v>151</v>
      </c>
      <c r="C8" s="8"/>
      <c r="D8" s="8"/>
      <c r="E8" s="8"/>
      <c r="F8" s="8"/>
      <c r="G8" s="8"/>
      <c r="H8" s="30"/>
      <c r="I8" s="10"/>
      <c r="J8" s="10"/>
      <c r="K8" s="10"/>
      <c r="L8" s="7"/>
      <c r="M8" s="28"/>
    </row>
    <row r="9" spans="1:15" ht="63" customHeight="1" x14ac:dyDescent="0.35">
      <c r="A9" s="6">
        <v>3</v>
      </c>
      <c r="B9" s="7" t="s">
        <v>147</v>
      </c>
      <c r="C9" s="8" t="s">
        <v>17</v>
      </c>
      <c r="D9" s="8">
        <f>(0.075*0.3)*(22.5)+((0.2*0.1-0.15*0.05)*0.6)*5</f>
        <v>0.54374999999999996</v>
      </c>
      <c r="E9" s="8">
        <f>(0.075*0.3)*(42.5)+((0.2*0.1-0.15*0.05)*0.6)*10</f>
        <v>1.03125</v>
      </c>
      <c r="F9" s="8">
        <f>(0.075*0.3)*(61)+((0.2*0.1-0.15*0.05)*0.6)*14</f>
        <v>1.4775</v>
      </c>
      <c r="G9" s="127">
        <f>D9*$D$2+E9*$E$2+F9*$F$2</f>
        <v>30.704999999999998</v>
      </c>
      <c r="H9" s="9"/>
      <c r="I9" s="10">
        <f>G9*H9</f>
        <v>0</v>
      </c>
      <c r="J9" s="10">
        <f t="shared" ref="J9:J10" si="1">H9/$L$2</f>
        <v>0</v>
      </c>
      <c r="K9" s="10">
        <f>G9*J9</f>
        <v>0</v>
      </c>
      <c r="L9" s="7"/>
      <c r="M9" s="28"/>
    </row>
    <row r="10" spans="1:15" ht="73" customHeight="1" x14ac:dyDescent="0.35">
      <c r="A10" s="45">
        <v>4</v>
      </c>
      <c r="B10" s="7" t="s">
        <v>78</v>
      </c>
      <c r="C10" s="40" t="s">
        <v>10</v>
      </c>
      <c r="D10" s="40">
        <f>22.5*0.5+9.15*0.25</f>
        <v>13.5375</v>
      </c>
      <c r="E10" s="40">
        <f>42.5*0.5+15.3*0.25</f>
        <v>25.074999999999999</v>
      </c>
      <c r="F10" s="40">
        <f>61*0.5+21.6*0.25</f>
        <v>35.9</v>
      </c>
      <c r="G10" s="127">
        <f>D10*$D$2+E10*$E$2+F10*$F$2</f>
        <v>747.23749999999995</v>
      </c>
      <c r="H10" s="9"/>
      <c r="I10" s="10">
        <f>G10*H10</f>
        <v>0</v>
      </c>
      <c r="J10" s="10">
        <f t="shared" si="1"/>
        <v>0</v>
      </c>
      <c r="K10" s="10">
        <f>G10*J10</f>
        <v>0</v>
      </c>
      <c r="L10" s="7"/>
      <c r="M10" s="28"/>
    </row>
    <row r="11" spans="1:15" ht="18" customHeight="1" x14ac:dyDescent="0.35">
      <c r="A11" s="55" t="s">
        <v>149</v>
      </c>
      <c r="B11" s="33" t="s">
        <v>148</v>
      </c>
      <c r="C11" s="40"/>
      <c r="D11" s="40"/>
      <c r="E11" s="40"/>
      <c r="F11" s="40"/>
      <c r="G11" s="40"/>
      <c r="H11" s="9"/>
      <c r="I11" s="39"/>
      <c r="J11" s="39"/>
      <c r="K11" s="39"/>
      <c r="L11" s="7"/>
      <c r="M11" s="28"/>
    </row>
    <row r="12" spans="1:15" ht="48.5" customHeight="1" x14ac:dyDescent="0.35">
      <c r="A12" s="45">
        <v>5</v>
      </c>
      <c r="B12" s="57" t="s">
        <v>79</v>
      </c>
      <c r="C12" s="40" t="s">
        <v>10</v>
      </c>
      <c r="D12" s="40">
        <f>(3.3*2+6.45)*0.25+(1.35*2+6.45)*0.1</f>
        <v>4.1775000000000002</v>
      </c>
      <c r="E12" s="40">
        <f>(3.3*2+12.75)*0.25+(1.35*2+6.3*2)*0.1</f>
        <v>6.3675000000000006</v>
      </c>
      <c r="F12" s="40">
        <f>(3.3*2+19.05)*0.25+(1.35*2+9.3*2)*0.1</f>
        <v>8.5425000000000004</v>
      </c>
      <c r="G12" s="127">
        <f>D12*$D$2+E12*$E$2+F12*$F$2</f>
        <v>185.08500000000001</v>
      </c>
      <c r="H12" s="9"/>
      <c r="I12" s="10">
        <f>G12*H12</f>
        <v>0</v>
      </c>
      <c r="J12" s="10">
        <f t="shared" ref="J12:J15" si="2">H12/$L$2</f>
        <v>0</v>
      </c>
      <c r="K12" s="10">
        <f>G12*J12</f>
        <v>0</v>
      </c>
      <c r="L12" s="7"/>
      <c r="M12" s="28"/>
    </row>
    <row r="13" spans="1:15" ht="47.5" customHeight="1" x14ac:dyDescent="0.35">
      <c r="A13" s="6">
        <v>6</v>
      </c>
      <c r="B13" s="7" t="s">
        <v>152</v>
      </c>
      <c r="C13" s="8" t="s">
        <v>10</v>
      </c>
      <c r="D13" s="8">
        <f>22.5*0.25</f>
        <v>5.625</v>
      </c>
      <c r="E13" s="8">
        <f>42.5*0.25</f>
        <v>10.625</v>
      </c>
      <c r="F13" s="8">
        <f>61*0.25</f>
        <v>15.25</v>
      </c>
      <c r="G13" s="127">
        <f>D13*$D$2+E13*$E$2+F13*$F$2</f>
        <v>316.75</v>
      </c>
      <c r="H13" s="9"/>
      <c r="I13" s="10">
        <f t="shared" ref="I13:I15" si="3">G13*H13</f>
        <v>0</v>
      </c>
      <c r="J13" s="10">
        <f t="shared" si="2"/>
        <v>0</v>
      </c>
      <c r="K13" s="10">
        <f t="shared" ref="K13:K15" si="4">G13*J13</f>
        <v>0</v>
      </c>
      <c r="L13" s="7"/>
    </row>
    <row r="14" spans="1:15" ht="41" customHeight="1" x14ac:dyDescent="0.35">
      <c r="A14" s="45">
        <v>7</v>
      </c>
      <c r="B14" s="7" t="s">
        <v>59</v>
      </c>
      <c r="C14" s="40" t="s">
        <v>17</v>
      </c>
      <c r="D14" s="40">
        <f>(3*3*2+6.45*1.35)*0.05</f>
        <v>1.3353750000000002</v>
      </c>
      <c r="E14" s="40">
        <f>(3*3*4+6.3*1.35*2)*0.05</f>
        <v>2.6505000000000005</v>
      </c>
      <c r="F14" s="40">
        <f>(3*3*6+9.45*1.35*2)*0.05</f>
        <v>3.9757500000000001</v>
      </c>
      <c r="G14" s="127">
        <f>D14*$D$2+E14*$E$2+F14*$F$2</f>
        <v>80.870625000000018</v>
      </c>
      <c r="H14" s="9"/>
      <c r="I14" s="10">
        <f t="shared" si="3"/>
        <v>0</v>
      </c>
      <c r="J14" s="10">
        <f t="shared" si="2"/>
        <v>0</v>
      </c>
      <c r="K14" s="10">
        <f t="shared" si="4"/>
        <v>0</v>
      </c>
      <c r="L14" s="7"/>
      <c r="M14" s="28"/>
    </row>
    <row r="15" spans="1:15" ht="41" customHeight="1" x14ac:dyDescent="0.35">
      <c r="A15" s="45">
        <v>8</v>
      </c>
      <c r="B15" s="7" t="s">
        <v>60</v>
      </c>
      <c r="C15" s="40" t="s">
        <v>10</v>
      </c>
      <c r="D15" s="40">
        <f>(3*3*2+6.45*1.35)</f>
        <v>26.707500000000003</v>
      </c>
      <c r="E15" s="40">
        <f>(3*3*4+6.3*1.35*2)</f>
        <v>53.010000000000005</v>
      </c>
      <c r="F15" s="40">
        <f>(3*3*6+9.45*1.35*2)</f>
        <v>79.515000000000001</v>
      </c>
      <c r="G15" s="127">
        <f>D15*$D$2+E15*$E$2+F15*$F$2</f>
        <v>1617.4125000000001</v>
      </c>
      <c r="H15" s="9"/>
      <c r="I15" s="10">
        <f t="shared" si="3"/>
        <v>0</v>
      </c>
      <c r="J15" s="10">
        <f t="shared" si="2"/>
        <v>0</v>
      </c>
      <c r="K15" s="10">
        <f t="shared" si="4"/>
        <v>0</v>
      </c>
      <c r="L15" s="7"/>
      <c r="M15" s="28"/>
    </row>
    <row r="16" spans="1:15" ht="16" x14ac:dyDescent="0.35">
      <c r="A16" s="6"/>
      <c r="B16" s="46" t="s">
        <v>44</v>
      </c>
      <c r="C16" s="52"/>
      <c r="D16" s="52"/>
      <c r="E16" s="52"/>
      <c r="F16" s="52"/>
      <c r="G16" s="52"/>
      <c r="H16" s="52"/>
      <c r="I16" s="51">
        <f>SUM(I6:I15)</f>
        <v>0</v>
      </c>
      <c r="J16" s="51"/>
      <c r="K16" s="51">
        <f>SUM(K6:K15)</f>
        <v>0</v>
      </c>
      <c r="L16" s="49"/>
    </row>
    <row r="17" spans="1:13" ht="16" x14ac:dyDescent="0.35">
      <c r="A17" s="6"/>
      <c r="B17" s="5"/>
      <c r="C17" s="5"/>
      <c r="D17" s="5"/>
      <c r="E17" s="5"/>
      <c r="F17" s="5"/>
      <c r="G17" s="5"/>
      <c r="H17" s="12"/>
      <c r="I17" s="12"/>
      <c r="J17" s="12"/>
      <c r="K17" s="12"/>
      <c r="L17" s="13"/>
    </row>
    <row r="18" spans="1:13" ht="16" x14ac:dyDescent="0.35">
      <c r="A18" s="55" t="s">
        <v>126</v>
      </c>
      <c r="B18" s="33" t="s">
        <v>153</v>
      </c>
      <c r="C18" s="14"/>
      <c r="D18" s="14"/>
      <c r="E18" s="14"/>
      <c r="F18" s="14"/>
      <c r="G18" s="14"/>
      <c r="H18" s="14"/>
      <c r="I18" s="14"/>
      <c r="J18" s="14"/>
      <c r="K18" s="14"/>
      <c r="L18" s="15"/>
    </row>
    <row r="19" spans="1:13" ht="68" customHeight="1" x14ac:dyDescent="0.35">
      <c r="A19" s="6">
        <v>9</v>
      </c>
      <c r="B19" s="57" t="s">
        <v>49</v>
      </c>
      <c r="C19" s="8" t="s">
        <v>10</v>
      </c>
      <c r="D19" s="8">
        <f>(22.5-1.6)*2.4+(3.3*0.55/2*3)-0.5</f>
        <v>52.382499999999993</v>
      </c>
      <c r="E19" s="8">
        <f>(42.5-1.6*2)*2.4+(3.3*0.55/2*5)-0.5*2</f>
        <v>97.857499999999987</v>
      </c>
      <c r="F19" s="8">
        <f>(61-1.6*3)*2.4+(3.3*0.55/2*7)-0.5*3</f>
        <v>139.73249999999999</v>
      </c>
      <c r="G19" s="127">
        <f>D19*$D$2+E19*$E$2+F19*$F$2</f>
        <v>2910.37</v>
      </c>
      <c r="H19" s="9"/>
      <c r="I19" s="10">
        <f t="shared" ref="I19:I20" si="5">G19*H19</f>
        <v>0</v>
      </c>
      <c r="J19" s="10">
        <f t="shared" ref="J19:J20" si="6">H19/$L$2</f>
        <v>0</v>
      </c>
      <c r="K19" s="10">
        <f t="shared" ref="K19:K20" si="7">G19*J19</f>
        <v>0</v>
      </c>
      <c r="L19" s="7" t="s">
        <v>154</v>
      </c>
    </row>
    <row r="20" spans="1:13" ht="65.5" customHeight="1" x14ac:dyDescent="0.35">
      <c r="A20" s="6">
        <v>10</v>
      </c>
      <c r="B20" s="57" t="s">
        <v>80</v>
      </c>
      <c r="C20" s="8" t="s">
        <v>10</v>
      </c>
      <c r="D20" s="8">
        <f>(19.5-1.6)*2.4+(3.3*0.55/2*2)-0.5+(0.3*12)*2</f>
        <v>51.474999999999994</v>
      </c>
      <c r="E20" s="8">
        <f>(42.5-9-1.6)*2.4+(3.3*0.55/2*2)-0.5*2+(0.3*12)*4</f>
        <v>91.774999999999977</v>
      </c>
      <c r="F20" s="8">
        <f>(61-15-1.6*3)*2.4+(3.3*0.55/2*2)-0.5*3+(0.3*12)*6</f>
        <v>120.795</v>
      </c>
      <c r="G20" s="127">
        <f>D20*$D$2+E20*$E$2+F20*$F$2</f>
        <v>2613.4899999999998</v>
      </c>
      <c r="H20" s="9"/>
      <c r="I20" s="10">
        <f t="shared" si="5"/>
        <v>0</v>
      </c>
      <c r="J20" s="10">
        <f t="shared" si="6"/>
        <v>0</v>
      </c>
      <c r="K20" s="10">
        <f t="shared" si="7"/>
        <v>0</v>
      </c>
      <c r="L20" s="7"/>
    </row>
    <row r="21" spans="1:13" ht="16" x14ac:dyDescent="0.35">
      <c r="A21" s="6"/>
      <c r="B21" s="46" t="s">
        <v>29</v>
      </c>
      <c r="C21" s="50"/>
      <c r="D21" s="50"/>
      <c r="E21" s="50"/>
      <c r="F21" s="50"/>
      <c r="G21" s="50"/>
      <c r="H21" s="50"/>
      <c r="I21" s="51">
        <f>SUM(I19:I20)</f>
        <v>0</v>
      </c>
      <c r="J21" s="50"/>
      <c r="K21" s="51">
        <f>SUM(K19:K20)</f>
        <v>0</v>
      </c>
      <c r="L21" s="50"/>
    </row>
    <row r="22" spans="1:13" ht="16" x14ac:dyDescent="0.35">
      <c r="A22" s="6"/>
      <c r="B22" s="14"/>
      <c r="C22" s="17"/>
      <c r="D22" s="17"/>
      <c r="E22" s="17"/>
      <c r="F22" s="17"/>
      <c r="G22" s="17"/>
      <c r="H22" s="17"/>
      <c r="I22" s="17"/>
      <c r="J22" s="17"/>
      <c r="K22" s="17"/>
      <c r="L22" s="14"/>
    </row>
    <row r="23" spans="1:13" ht="16" x14ac:dyDescent="0.35">
      <c r="A23" s="55" t="s">
        <v>155</v>
      </c>
      <c r="B23" s="32" t="s">
        <v>81</v>
      </c>
      <c r="C23" s="17"/>
      <c r="D23" s="17"/>
      <c r="E23" s="17"/>
      <c r="F23" s="17"/>
      <c r="G23" s="17"/>
      <c r="H23" s="17"/>
      <c r="I23" s="17"/>
      <c r="J23" s="17"/>
      <c r="K23" s="17"/>
      <c r="L23" s="14"/>
    </row>
    <row r="24" spans="1:13" ht="54" customHeight="1" x14ac:dyDescent="0.35">
      <c r="A24" s="36">
        <v>11</v>
      </c>
      <c r="B24" s="37" t="s">
        <v>156</v>
      </c>
      <c r="C24" s="38" t="s">
        <v>18</v>
      </c>
      <c r="D24" s="34">
        <v>9</v>
      </c>
      <c r="E24" s="34">
        <f>D24*2</f>
        <v>18</v>
      </c>
      <c r="F24" s="34">
        <f>D24*3</f>
        <v>27</v>
      </c>
      <c r="G24" s="127">
        <f>D24*$D$2+E24*$E$2+F24*$F$2</f>
        <v>549</v>
      </c>
      <c r="H24" s="18"/>
      <c r="I24" s="10">
        <f t="shared" ref="I24:I28" si="8">G24*H24</f>
        <v>0</v>
      </c>
      <c r="J24" s="10">
        <f t="shared" ref="J24:J28" si="9">H24/$L$2</f>
        <v>0</v>
      </c>
      <c r="K24" s="10">
        <f t="shared" ref="K24:K28" si="10">G24*J24</f>
        <v>0</v>
      </c>
      <c r="L24" s="7"/>
    </row>
    <row r="25" spans="1:13" ht="63" customHeight="1" x14ac:dyDescent="0.35">
      <c r="A25" s="36">
        <v>12</v>
      </c>
      <c r="B25" s="43" t="s">
        <v>157</v>
      </c>
      <c r="C25" s="38" t="s">
        <v>18</v>
      </c>
      <c r="D25" s="34">
        <v>5</v>
      </c>
      <c r="E25" s="34">
        <v>10</v>
      </c>
      <c r="F25" s="34">
        <v>14</v>
      </c>
      <c r="G25" s="127">
        <f t="shared" ref="G25:G31" si="11">D25*$D$2+E25*$E$2+F25*$F$2</f>
        <v>293</v>
      </c>
      <c r="H25" s="18"/>
      <c r="I25" s="10">
        <f t="shared" si="8"/>
        <v>0</v>
      </c>
      <c r="J25" s="10">
        <f t="shared" si="9"/>
        <v>0</v>
      </c>
      <c r="K25" s="10">
        <f t="shared" si="10"/>
        <v>0</v>
      </c>
      <c r="L25" s="41"/>
    </row>
    <row r="26" spans="1:13" ht="79" customHeight="1" x14ac:dyDescent="0.35">
      <c r="A26" s="36">
        <v>13</v>
      </c>
      <c r="B26" s="37" t="s">
        <v>158</v>
      </c>
      <c r="C26" s="38" t="s">
        <v>18</v>
      </c>
      <c r="D26" s="42">
        <f>2.5+5+7.5+2+2</f>
        <v>19</v>
      </c>
      <c r="E26" s="42">
        <f>D26*2</f>
        <v>38</v>
      </c>
      <c r="F26" s="42">
        <f>D26*3-2.5</f>
        <v>54.5</v>
      </c>
      <c r="G26" s="127">
        <f t="shared" si="11"/>
        <v>1129</v>
      </c>
      <c r="H26" s="18"/>
      <c r="I26" s="10">
        <f t="shared" si="8"/>
        <v>0</v>
      </c>
      <c r="J26" s="10">
        <f t="shared" si="9"/>
        <v>0</v>
      </c>
      <c r="K26" s="10">
        <f t="shared" si="10"/>
        <v>0</v>
      </c>
      <c r="L26" s="41"/>
    </row>
    <row r="27" spans="1:13" ht="58" customHeight="1" x14ac:dyDescent="0.35">
      <c r="A27" s="36">
        <v>14</v>
      </c>
      <c r="B27" s="37" t="s">
        <v>159</v>
      </c>
      <c r="C27" s="38" t="s">
        <v>18</v>
      </c>
      <c r="D27" s="35">
        <v>25</v>
      </c>
      <c r="E27" s="35">
        <f>D27*2</f>
        <v>50</v>
      </c>
      <c r="F27" s="35">
        <f>D27*3</f>
        <v>75</v>
      </c>
      <c r="G27" s="127">
        <f t="shared" si="11"/>
        <v>1525</v>
      </c>
      <c r="H27" s="9"/>
      <c r="I27" s="10">
        <f t="shared" si="8"/>
        <v>0</v>
      </c>
      <c r="J27" s="10">
        <f t="shared" si="9"/>
        <v>0</v>
      </c>
      <c r="K27" s="10">
        <f t="shared" si="10"/>
        <v>0</v>
      </c>
      <c r="L27" s="41"/>
    </row>
    <row r="28" spans="1:13" ht="42" customHeight="1" x14ac:dyDescent="0.35">
      <c r="A28" s="36">
        <v>15</v>
      </c>
      <c r="B28" s="43" t="s">
        <v>160</v>
      </c>
      <c r="C28" s="44" t="s">
        <v>18</v>
      </c>
      <c r="D28" s="42">
        <v>9</v>
      </c>
      <c r="E28" s="42">
        <v>13</v>
      </c>
      <c r="F28" s="42">
        <v>17</v>
      </c>
      <c r="G28" s="127">
        <f t="shared" si="11"/>
        <v>374</v>
      </c>
      <c r="H28" s="18"/>
      <c r="I28" s="10">
        <f t="shared" si="8"/>
        <v>0</v>
      </c>
      <c r="J28" s="10">
        <f t="shared" si="9"/>
        <v>0</v>
      </c>
      <c r="K28" s="10">
        <f t="shared" si="10"/>
        <v>0</v>
      </c>
      <c r="L28" s="41"/>
    </row>
    <row r="29" spans="1:13" ht="20" customHeight="1" x14ac:dyDescent="0.35">
      <c r="A29" s="36"/>
      <c r="B29" s="32" t="s">
        <v>70</v>
      </c>
      <c r="C29" s="44"/>
      <c r="D29" s="42"/>
      <c r="E29" s="42"/>
      <c r="F29" s="42"/>
      <c r="G29" s="42"/>
      <c r="H29" s="18"/>
      <c r="I29" s="39"/>
      <c r="J29" s="39"/>
      <c r="K29" s="39"/>
      <c r="L29" s="41"/>
    </row>
    <row r="30" spans="1:13" ht="81" customHeight="1" x14ac:dyDescent="0.35">
      <c r="A30" s="36">
        <v>16</v>
      </c>
      <c r="B30" s="58" t="s">
        <v>86</v>
      </c>
      <c r="C30" s="63" t="s">
        <v>10</v>
      </c>
      <c r="D30" s="64">
        <f>7.1*(2.4+3.4)</f>
        <v>41.18</v>
      </c>
      <c r="E30" s="64">
        <f>13.3*(2.4+3.4)</f>
        <v>77.14</v>
      </c>
      <c r="F30" s="64">
        <f>19.6*(2.4+3.4)</f>
        <v>113.68</v>
      </c>
      <c r="G30" s="127">
        <f t="shared" si="11"/>
        <v>2336.2399999999998</v>
      </c>
      <c r="H30" s="18"/>
      <c r="I30" s="10">
        <f t="shared" ref="I30:I31" si="12">G30*H30</f>
        <v>0</v>
      </c>
      <c r="J30" s="10">
        <f t="shared" ref="J30:J31" si="13">H30/$L$2</f>
        <v>0</v>
      </c>
      <c r="K30" s="10">
        <f t="shared" ref="K30:K31" si="14">G30*J30</f>
        <v>0</v>
      </c>
      <c r="L30" s="16"/>
    </row>
    <row r="31" spans="1:13" ht="50" customHeight="1" x14ac:dyDescent="0.35">
      <c r="A31" s="36">
        <v>17</v>
      </c>
      <c r="B31" s="37" t="s">
        <v>161</v>
      </c>
      <c r="C31" s="38" t="s">
        <v>19</v>
      </c>
      <c r="D31" s="34">
        <v>7.5</v>
      </c>
      <c r="E31" s="34">
        <v>13.5</v>
      </c>
      <c r="F31" s="34">
        <v>20</v>
      </c>
      <c r="G31" s="127">
        <f t="shared" si="11"/>
        <v>411</v>
      </c>
      <c r="H31" s="18"/>
      <c r="I31" s="10">
        <f t="shared" si="12"/>
        <v>0</v>
      </c>
      <c r="J31" s="10">
        <f t="shared" si="13"/>
        <v>0</v>
      </c>
      <c r="K31" s="10">
        <f t="shared" si="14"/>
        <v>0</v>
      </c>
      <c r="L31" s="16"/>
    </row>
    <row r="32" spans="1:13" ht="16" x14ac:dyDescent="0.35">
      <c r="A32" s="6"/>
      <c r="B32" s="46" t="s">
        <v>71</v>
      </c>
      <c r="C32" s="49"/>
      <c r="D32" s="49"/>
      <c r="E32" s="49"/>
      <c r="F32" s="49"/>
      <c r="G32" s="49"/>
      <c r="H32" s="49"/>
      <c r="I32" s="48">
        <f>SUM(I24:I31)</f>
        <v>0</v>
      </c>
      <c r="J32" s="49"/>
      <c r="K32" s="48">
        <f>SUM(K24:K31)</f>
        <v>0</v>
      </c>
      <c r="L32" s="47"/>
      <c r="M32" s="28"/>
    </row>
    <row r="33" spans="1:12" ht="16" x14ac:dyDescent="0.35">
      <c r="A33" s="6"/>
      <c r="B33" s="7"/>
      <c r="C33" s="10"/>
      <c r="D33" s="10"/>
      <c r="E33" s="10"/>
      <c r="F33" s="10"/>
      <c r="G33" s="10"/>
      <c r="H33" s="10"/>
      <c r="I33" s="10"/>
      <c r="J33" s="10"/>
      <c r="K33" s="10"/>
      <c r="L33" s="14"/>
    </row>
    <row r="34" spans="1:12" ht="16" x14ac:dyDescent="0.35">
      <c r="A34" s="6"/>
      <c r="B34" s="32" t="s">
        <v>82</v>
      </c>
      <c r="C34" s="14"/>
      <c r="D34" s="14"/>
      <c r="E34" s="14"/>
      <c r="F34" s="14"/>
      <c r="G34" s="14"/>
      <c r="H34" s="14"/>
      <c r="I34" s="14"/>
      <c r="J34" s="14"/>
      <c r="K34" s="14"/>
      <c r="L34" s="14"/>
    </row>
    <row r="35" spans="1:12" ht="52" customHeight="1" x14ac:dyDescent="0.35">
      <c r="A35" s="6">
        <v>18</v>
      </c>
      <c r="B35" s="7" t="s">
        <v>87</v>
      </c>
      <c r="C35" s="10" t="s">
        <v>18</v>
      </c>
      <c r="D35" s="10">
        <v>2</v>
      </c>
      <c r="E35" s="10">
        <f>D35*2</f>
        <v>4</v>
      </c>
      <c r="F35" s="10">
        <f>D35*3</f>
        <v>6</v>
      </c>
      <c r="G35" s="127">
        <f t="shared" ref="G35:G37" si="15">D35*$D$2+E35*$E$2+F35*$F$2</f>
        <v>122</v>
      </c>
      <c r="H35" s="18"/>
      <c r="I35" s="10">
        <f t="shared" ref="I35:I37" si="16">G35*H35</f>
        <v>0</v>
      </c>
      <c r="J35" s="10">
        <f t="shared" ref="J35:J37" si="17">H35/$L$2</f>
        <v>0</v>
      </c>
      <c r="K35" s="10">
        <f t="shared" ref="K35:K37" si="18">G35*J35</f>
        <v>0</v>
      </c>
      <c r="L35" s="16"/>
    </row>
    <row r="36" spans="1:12" ht="48" x14ac:dyDescent="0.35">
      <c r="A36" s="6">
        <v>19</v>
      </c>
      <c r="B36" s="7" t="s">
        <v>92</v>
      </c>
      <c r="C36" s="10" t="s">
        <v>18</v>
      </c>
      <c r="D36" s="10">
        <v>2</v>
      </c>
      <c r="E36" s="10">
        <f t="shared" ref="E36:E37" si="19">D36*2</f>
        <v>4</v>
      </c>
      <c r="F36" s="10">
        <f t="shared" ref="F36:F37" si="20">D36*3</f>
        <v>6</v>
      </c>
      <c r="G36" s="127">
        <f t="shared" si="15"/>
        <v>122</v>
      </c>
      <c r="H36" s="18"/>
      <c r="I36" s="10">
        <f t="shared" si="16"/>
        <v>0</v>
      </c>
      <c r="J36" s="10">
        <f t="shared" si="17"/>
        <v>0</v>
      </c>
      <c r="K36" s="10">
        <f t="shared" si="18"/>
        <v>0</v>
      </c>
      <c r="L36" s="16"/>
    </row>
    <row r="37" spans="1:12" ht="39.5" customHeight="1" x14ac:dyDescent="0.35">
      <c r="A37" s="6">
        <v>20</v>
      </c>
      <c r="B37" s="7" t="s">
        <v>93</v>
      </c>
      <c r="C37" s="10" t="s">
        <v>18</v>
      </c>
      <c r="D37" s="10">
        <v>8</v>
      </c>
      <c r="E37" s="10">
        <f t="shared" si="19"/>
        <v>16</v>
      </c>
      <c r="F37" s="10">
        <f t="shared" si="20"/>
        <v>24</v>
      </c>
      <c r="G37" s="127">
        <f t="shared" si="15"/>
        <v>488</v>
      </c>
      <c r="H37" s="18"/>
      <c r="I37" s="10">
        <f t="shared" si="16"/>
        <v>0</v>
      </c>
      <c r="J37" s="10">
        <f t="shared" si="17"/>
        <v>0</v>
      </c>
      <c r="K37" s="10">
        <f t="shared" si="18"/>
        <v>0</v>
      </c>
      <c r="L37" s="16" t="s">
        <v>94</v>
      </c>
    </row>
    <row r="38" spans="1:12" ht="16" x14ac:dyDescent="0.35">
      <c r="A38" s="6"/>
      <c r="B38" s="46" t="s">
        <v>83</v>
      </c>
      <c r="C38" s="49"/>
      <c r="D38" s="49"/>
      <c r="E38" s="49"/>
      <c r="F38" s="49"/>
      <c r="G38" s="49"/>
      <c r="H38" s="49"/>
      <c r="I38" s="48">
        <f>SUM(I35:I37)</f>
        <v>0</v>
      </c>
      <c r="J38" s="49"/>
      <c r="K38" s="48">
        <f>SUM(K35:K37)</f>
        <v>0</v>
      </c>
      <c r="L38" s="47"/>
    </row>
    <row r="39" spans="1:12" ht="16" x14ac:dyDescent="0.35">
      <c r="A39" s="6"/>
      <c r="B39" s="14"/>
      <c r="C39" s="14"/>
      <c r="D39" s="14"/>
      <c r="E39" s="14"/>
      <c r="F39" s="14"/>
      <c r="G39" s="14"/>
      <c r="H39" s="14"/>
      <c r="I39" s="14"/>
      <c r="J39" s="14"/>
      <c r="K39" s="14"/>
      <c r="L39" s="14"/>
    </row>
    <row r="40" spans="1:12" ht="16" x14ac:dyDescent="0.35">
      <c r="A40" s="6"/>
      <c r="B40" s="32" t="s">
        <v>11</v>
      </c>
      <c r="C40" s="14"/>
      <c r="D40" s="14"/>
      <c r="E40" s="14"/>
      <c r="F40" s="14"/>
      <c r="G40" s="14"/>
      <c r="H40" s="14"/>
      <c r="I40" s="14"/>
      <c r="J40" s="14"/>
      <c r="K40" s="14"/>
      <c r="L40" s="14"/>
    </row>
    <row r="41" spans="1:12" ht="30" customHeight="1" x14ac:dyDescent="0.35">
      <c r="A41" s="6">
        <v>21</v>
      </c>
      <c r="B41" s="7" t="s">
        <v>23</v>
      </c>
      <c r="C41" s="10" t="s">
        <v>24</v>
      </c>
      <c r="D41" s="29">
        <v>2</v>
      </c>
      <c r="E41" s="10">
        <f>D41*2</f>
        <v>4</v>
      </c>
      <c r="F41" s="10">
        <f>D41*3</f>
        <v>6</v>
      </c>
      <c r="G41" s="127">
        <f t="shared" ref="G41:G45" si="21">D41*$D$2+E41*$E$2+F41*$F$2</f>
        <v>122</v>
      </c>
      <c r="H41" s="18"/>
      <c r="I41" s="10">
        <f t="shared" ref="I41:I45" si="22">G41*H41</f>
        <v>0</v>
      </c>
      <c r="J41" s="10">
        <f t="shared" ref="J41:J45" si="23">H41/$L$2</f>
        <v>0</v>
      </c>
      <c r="K41" s="10">
        <f t="shared" ref="K41:K45" si="24">G41*J41</f>
        <v>0</v>
      </c>
      <c r="L41" s="7" t="s">
        <v>12</v>
      </c>
    </row>
    <row r="42" spans="1:12" ht="16" x14ac:dyDescent="0.35">
      <c r="A42" s="6">
        <v>22</v>
      </c>
      <c r="B42" s="7" t="s">
        <v>25</v>
      </c>
      <c r="C42" s="10" t="s">
        <v>24</v>
      </c>
      <c r="D42" s="39">
        <v>10</v>
      </c>
      <c r="E42" s="10">
        <f t="shared" ref="E42:E45" si="25">D42*2</f>
        <v>20</v>
      </c>
      <c r="F42" s="10">
        <f t="shared" ref="F42:F45" si="26">D42*3</f>
        <v>30</v>
      </c>
      <c r="G42" s="127">
        <f t="shared" si="21"/>
        <v>610</v>
      </c>
      <c r="H42" s="18"/>
      <c r="I42" s="10">
        <f t="shared" si="22"/>
        <v>0</v>
      </c>
      <c r="J42" s="10">
        <f t="shared" si="23"/>
        <v>0</v>
      </c>
      <c r="K42" s="10">
        <f t="shared" si="24"/>
        <v>0</v>
      </c>
      <c r="L42" s="7" t="s">
        <v>13</v>
      </c>
    </row>
    <row r="43" spans="1:12" ht="16" x14ac:dyDescent="0.35">
      <c r="A43" s="6">
        <v>23</v>
      </c>
      <c r="B43" s="7" t="s">
        <v>26</v>
      </c>
      <c r="C43" s="10" t="s">
        <v>24</v>
      </c>
      <c r="D43" s="39">
        <v>8</v>
      </c>
      <c r="E43" s="10">
        <f t="shared" si="25"/>
        <v>16</v>
      </c>
      <c r="F43" s="10">
        <f t="shared" si="26"/>
        <v>24</v>
      </c>
      <c r="G43" s="127">
        <f t="shared" si="21"/>
        <v>488</v>
      </c>
      <c r="H43" s="18"/>
      <c r="I43" s="10">
        <f t="shared" si="22"/>
        <v>0</v>
      </c>
      <c r="J43" s="10">
        <f t="shared" si="23"/>
        <v>0</v>
      </c>
      <c r="K43" s="10">
        <f t="shared" si="24"/>
        <v>0</v>
      </c>
      <c r="L43" s="7" t="s">
        <v>14</v>
      </c>
    </row>
    <row r="44" spans="1:12" ht="16" x14ac:dyDescent="0.35">
      <c r="A44" s="6">
        <v>24</v>
      </c>
      <c r="B44" s="7" t="s">
        <v>27</v>
      </c>
      <c r="C44" s="10" t="s">
        <v>24</v>
      </c>
      <c r="D44" s="39">
        <v>2</v>
      </c>
      <c r="E44" s="10">
        <f t="shared" si="25"/>
        <v>4</v>
      </c>
      <c r="F44" s="10">
        <f t="shared" si="26"/>
        <v>6</v>
      </c>
      <c r="G44" s="127">
        <f t="shared" si="21"/>
        <v>122</v>
      </c>
      <c r="H44" s="18"/>
      <c r="I44" s="10">
        <f t="shared" si="22"/>
        <v>0</v>
      </c>
      <c r="J44" s="10">
        <f t="shared" si="23"/>
        <v>0</v>
      </c>
      <c r="K44" s="10">
        <f t="shared" si="24"/>
        <v>0</v>
      </c>
      <c r="L44" s="7" t="s">
        <v>15</v>
      </c>
    </row>
    <row r="45" spans="1:12" ht="32" x14ac:dyDescent="0.35">
      <c r="A45" s="6">
        <v>25</v>
      </c>
      <c r="B45" s="7" t="s">
        <v>36</v>
      </c>
      <c r="C45" s="10" t="s">
        <v>18</v>
      </c>
      <c r="D45" s="29">
        <v>56</v>
      </c>
      <c r="E45" s="10">
        <f t="shared" si="25"/>
        <v>112</v>
      </c>
      <c r="F45" s="10">
        <f t="shared" si="26"/>
        <v>168</v>
      </c>
      <c r="G45" s="127">
        <f t="shared" si="21"/>
        <v>3416</v>
      </c>
      <c r="H45" s="18"/>
      <c r="I45" s="10">
        <f t="shared" si="22"/>
        <v>0</v>
      </c>
      <c r="J45" s="10">
        <f t="shared" si="23"/>
        <v>0</v>
      </c>
      <c r="K45" s="10">
        <f t="shared" si="24"/>
        <v>0</v>
      </c>
      <c r="L45" s="7" t="s">
        <v>56</v>
      </c>
    </row>
    <row r="46" spans="1:12" ht="16" x14ac:dyDescent="0.35">
      <c r="A46" s="6"/>
      <c r="B46" s="46" t="s">
        <v>16</v>
      </c>
      <c r="C46" s="47"/>
      <c r="D46" s="47"/>
      <c r="E46" s="47"/>
      <c r="F46" s="47"/>
      <c r="G46" s="47"/>
      <c r="H46" s="47"/>
      <c r="I46" s="48">
        <f>SUM(I41:I45)</f>
        <v>0</v>
      </c>
      <c r="J46" s="47"/>
      <c r="K46" s="48">
        <f>SUM(K41:K45)</f>
        <v>0</v>
      </c>
      <c r="L46" s="47"/>
    </row>
    <row r="47" spans="1:12" ht="16" x14ac:dyDescent="0.35">
      <c r="A47" s="6"/>
      <c r="B47" s="14"/>
      <c r="C47" s="14"/>
      <c r="D47" s="14"/>
      <c r="E47" s="14"/>
      <c r="F47" s="14"/>
      <c r="G47" s="14"/>
      <c r="H47" s="14"/>
      <c r="I47" s="14"/>
      <c r="J47" s="14"/>
      <c r="K47" s="14"/>
      <c r="L47" s="14"/>
    </row>
    <row r="48" spans="1:12" s="28" customFormat="1" ht="16" x14ac:dyDescent="0.35">
      <c r="A48" s="65"/>
      <c r="B48" s="46" t="s">
        <v>44</v>
      </c>
      <c r="C48" s="67"/>
      <c r="D48" s="67"/>
      <c r="E48" s="67"/>
      <c r="F48" s="67"/>
      <c r="G48" s="67"/>
      <c r="H48" s="67"/>
      <c r="I48" s="68">
        <f>I16</f>
        <v>0</v>
      </c>
      <c r="J48" s="67"/>
      <c r="K48" s="68">
        <f>K16</f>
        <v>0</v>
      </c>
      <c r="L48" s="67"/>
    </row>
    <row r="49" spans="1:12" s="28" customFormat="1" ht="16" x14ac:dyDescent="0.35">
      <c r="A49" s="65"/>
      <c r="B49" s="46" t="s">
        <v>29</v>
      </c>
      <c r="C49" s="67"/>
      <c r="D49" s="67"/>
      <c r="E49" s="67"/>
      <c r="F49" s="67"/>
      <c r="G49" s="67"/>
      <c r="H49" s="67"/>
      <c r="I49" s="68">
        <f>I21</f>
        <v>0</v>
      </c>
      <c r="J49" s="67"/>
      <c r="K49" s="68">
        <f>K21</f>
        <v>0</v>
      </c>
      <c r="L49" s="67"/>
    </row>
    <row r="50" spans="1:12" s="28" customFormat="1" ht="16" x14ac:dyDescent="0.35">
      <c r="A50" s="65"/>
      <c r="B50" s="46" t="s">
        <v>71</v>
      </c>
      <c r="C50" s="67"/>
      <c r="D50" s="67"/>
      <c r="E50" s="67"/>
      <c r="F50" s="67"/>
      <c r="G50" s="67"/>
      <c r="H50" s="67"/>
      <c r="I50" s="68">
        <f>I32</f>
        <v>0</v>
      </c>
      <c r="J50" s="67"/>
      <c r="K50" s="68">
        <f>K32</f>
        <v>0</v>
      </c>
      <c r="L50" s="67"/>
    </row>
    <row r="51" spans="1:12" s="28" customFormat="1" ht="16" x14ac:dyDescent="0.35">
      <c r="A51" s="65"/>
      <c r="B51" s="46" t="s">
        <v>83</v>
      </c>
      <c r="C51" s="67"/>
      <c r="D51" s="67"/>
      <c r="E51" s="67"/>
      <c r="F51" s="67"/>
      <c r="G51" s="67"/>
      <c r="H51" s="67"/>
      <c r="I51" s="68">
        <f>I38</f>
        <v>0</v>
      </c>
      <c r="J51" s="67"/>
      <c r="K51" s="68">
        <f>K38</f>
        <v>0</v>
      </c>
      <c r="L51" s="67"/>
    </row>
    <row r="52" spans="1:12" s="28" customFormat="1" ht="16" x14ac:dyDescent="0.35">
      <c r="A52" s="65"/>
      <c r="B52" s="46" t="s">
        <v>16</v>
      </c>
      <c r="C52" s="67"/>
      <c r="D52" s="67"/>
      <c r="E52" s="67"/>
      <c r="F52" s="67"/>
      <c r="G52" s="67"/>
      <c r="H52" s="67"/>
      <c r="I52" s="68">
        <f>I46</f>
        <v>0</v>
      </c>
      <c r="J52" s="67"/>
      <c r="K52" s="68">
        <f>K46</f>
        <v>0</v>
      </c>
      <c r="L52" s="67"/>
    </row>
    <row r="53" spans="1:12" s="28" customFormat="1" x14ac:dyDescent="0.35">
      <c r="A53" s="65"/>
      <c r="B53" s="67"/>
      <c r="C53" s="67"/>
      <c r="D53" s="67"/>
      <c r="E53" s="67"/>
      <c r="F53" s="67"/>
      <c r="G53" s="67"/>
      <c r="H53" s="67"/>
      <c r="I53" s="67"/>
      <c r="J53" s="67"/>
      <c r="K53" s="67"/>
      <c r="L53" s="67"/>
    </row>
    <row r="54" spans="1:12" ht="16.5" x14ac:dyDescent="0.35">
      <c r="A54" s="22"/>
      <c r="B54" s="71" t="s">
        <v>76</v>
      </c>
      <c r="C54" s="24"/>
      <c r="D54" s="24"/>
      <c r="E54" s="24"/>
      <c r="F54" s="24"/>
      <c r="G54" s="24"/>
      <c r="H54" s="24"/>
      <c r="I54" s="69">
        <f>SUM(I48:I52)</f>
        <v>0</v>
      </c>
      <c r="J54" s="70"/>
      <c r="K54" s="69">
        <f>SUM(K48:K52)</f>
        <v>0</v>
      </c>
      <c r="L54" s="24"/>
    </row>
    <row r="55" spans="1:12" x14ac:dyDescent="0.35">
      <c r="A55" s="22"/>
      <c r="B55" s="14"/>
      <c r="C55" s="14"/>
      <c r="D55" s="14"/>
      <c r="E55" s="14"/>
      <c r="F55" s="14"/>
      <c r="G55" s="14"/>
      <c r="H55" s="14"/>
      <c r="I55" s="14"/>
      <c r="J55" s="14"/>
      <c r="K55" s="14"/>
      <c r="L55" s="14"/>
    </row>
    <row r="56" spans="1:12" ht="32" x14ac:dyDescent="0.35">
      <c r="A56" s="65"/>
      <c r="B56" s="46" t="s">
        <v>77</v>
      </c>
      <c r="C56" s="67"/>
      <c r="D56" s="67"/>
      <c r="E56" s="67"/>
      <c r="F56" s="67"/>
      <c r="G56" s="67"/>
      <c r="H56" s="67"/>
      <c r="I56" s="68">
        <f>I54*0.01</f>
        <v>0</v>
      </c>
      <c r="J56" s="67"/>
      <c r="K56" s="68">
        <f>I56/$L$2</f>
        <v>0</v>
      </c>
      <c r="L56" s="41" t="s">
        <v>84</v>
      </c>
    </row>
    <row r="58" spans="1:12" ht="19" customHeight="1" x14ac:dyDescent="0.35">
      <c r="A58" s="22"/>
      <c r="B58" s="23" t="s">
        <v>177</v>
      </c>
      <c r="C58" s="24"/>
      <c r="D58" s="24"/>
      <c r="E58" s="24"/>
      <c r="F58" s="24"/>
      <c r="G58" s="24"/>
      <c r="H58" s="72" t="s">
        <v>89</v>
      </c>
      <c r="I58" s="69">
        <f>I54+I56</f>
        <v>0</v>
      </c>
      <c r="J58" s="72" t="s">
        <v>90</v>
      </c>
      <c r="K58" s="69">
        <f>K54+K56</f>
        <v>0</v>
      </c>
      <c r="L58" s="24"/>
    </row>
    <row r="59" spans="1:12" x14ac:dyDescent="0.35">
      <c r="J59" s="73" t="s">
        <v>88</v>
      </c>
      <c r="K59" s="128">
        <f>K58*0.759</f>
        <v>0</v>
      </c>
    </row>
  </sheetData>
  <mergeCells count="11">
    <mergeCell ref="L3:L4"/>
    <mergeCell ref="A1:L1"/>
    <mergeCell ref="A3:A4"/>
    <mergeCell ref="B3:B4"/>
    <mergeCell ref="C3:C4"/>
    <mergeCell ref="D3:D4"/>
    <mergeCell ref="E3:E4"/>
    <mergeCell ref="F3:F4"/>
    <mergeCell ref="G3:G4"/>
    <mergeCell ref="H3:I3"/>
    <mergeCell ref="J3:K3"/>
  </mergeCells>
  <pageMargins left="0.7" right="0.7" top="0.75" bottom="0.75" header="0.3" footer="0.3"/>
  <pageSetup orientation="landscape" r:id="rId1"/>
  <headerFooter>
    <oddHeader>&amp;F</oddHead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0CF4F-09AF-47DB-BE7E-9CDAE2EE7C81}">
  <dimension ref="A1:S33"/>
  <sheetViews>
    <sheetView topLeftCell="A16" zoomScaleNormal="100" workbookViewId="0">
      <selection activeCell="L24" sqref="L6:L24"/>
    </sheetView>
  </sheetViews>
  <sheetFormatPr defaultRowHeight="14.5" x14ac:dyDescent="0.35"/>
  <cols>
    <col min="1" max="1" width="3.6328125" customWidth="1"/>
    <col min="2" max="2" width="72.08984375" customWidth="1"/>
    <col min="3" max="3" width="5.54296875" customWidth="1"/>
    <col min="4" max="11" width="9" customWidth="1"/>
    <col min="12" max="12" width="9.90625" customWidth="1"/>
    <col min="13" max="13" width="12.1796875" customWidth="1"/>
    <col min="14" max="15" width="9.90625" customWidth="1"/>
    <col min="16" max="16" width="70.08984375" customWidth="1"/>
  </cols>
  <sheetData>
    <row r="1" spans="1:19" ht="25.5" customHeight="1" x14ac:dyDescent="0.35">
      <c r="A1" s="140" t="s">
        <v>163</v>
      </c>
      <c r="B1" s="140"/>
      <c r="C1" s="140"/>
      <c r="D1" s="140"/>
      <c r="E1" s="140"/>
      <c r="F1" s="140"/>
      <c r="G1" s="140"/>
      <c r="H1" s="140"/>
      <c r="I1" s="140"/>
      <c r="J1" s="140"/>
      <c r="K1" s="140"/>
      <c r="L1" s="140"/>
      <c r="M1" s="140"/>
      <c r="N1" s="140"/>
      <c r="O1" s="140"/>
      <c r="P1" s="140"/>
    </row>
    <row r="2" spans="1:19" ht="20" customHeight="1" thickBot="1" x14ac:dyDescent="0.4">
      <c r="A2" s="1"/>
      <c r="B2" s="2"/>
      <c r="C2" s="2"/>
      <c r="D2" s="121">
        <v>2</v>
      </c>
      <c r="E2" s="121">
        <v>20</v>
      </c>
      <c r="F2" s="121">
        <v>16</v>
      </c>
      <c r="G2" s="121">
        <v>0</v>
      </c>
      <c r="H2" s="121">
        <v>4</v>
      </c>
      <c r="I2" s="121">
        <v>2</v>
      </c>
      <c r="J2" s="121">
        <v>0</v>
      </c>
      <c r="K2" s="2"/>
      <c r="L2" s="2"/>
      <c r="M2" s="2"/>
      <c r="N2" s="2"/>
      <c r="O2" s="2"/>
      <c r="P2" s="27">
        <v>414.89</v>
      </c>
    </row>
    <row r="3" spans="1:19" ht="16" customHeight="1" x14ac:dyDescent="0.35">
      <c r="A3" s="141" t="s">
        <v>0</v>
      </c>
      <c r="B3" s="143" t="s">
        <v>1</v>
      </c>
      <c r="C3" s="143" t="s">
        <v>2</v>
      </c>
      <c r="D3" s="145" t="s">
        <v>164</v>
      </c>
      <c r="E3" s="145" t="s">
        <v>165</v>
      </c>
      <c r="F3" s="145" t="s">
        <v>166</v>
      </c>
      <c r="G3" s="145" t="s">
        <v>167</v>
      </c>
      <c r="H3" s="145" t="s">
        <v>168</v>
      </c>
      <c r="I3" s="145" t="s">
        <v>169</v>
      </c>
      <c r="J3" s="145" t="s">
        <v>178</v>
      </c>
      <c r="K3" s="145" t="s">
        <v>146</v>
      </c>
      <c r="L3" s="146" t="s">
        <v>3</v>
      </c>
      <c r="M3" s="147"/>
      <c r="N3" s="146" t="s">
        <v>4</v>
      </c>
      <c r="O3" s="147"/>
      <c r="P3" s="138" t="s">
        <v>5</v>
      </c>
    </row>
    <row r="4" spans="1:19" ht="32" x14ac:dyDescent="0.35">
      <c r="A4" s="142"/>
      <c r="B4" s="144"/>
      <c r="C4" s="144"/>
      <c r="D4" s="144"/>
      <c r="E4" s="144"/>
      <c r="F4" s="144"/>
      <c r="G4" s="144"/>
      <c r="H4" s="144"/>
      <c r="I4" s="144"/>
      <c r="J4" s="144"/>
      <c r="K4" s="144"/>
      <c r="L4" s="3" t="s">
        <v>6</v>
      </c>
      <c r="M4" s="3" t="s">
        <v>7</v>
      </c>
      <c r="N4" s="3" t="s">
        <v>8</v>
      </c>
      <c r="O4" s="3" t="s">
        <v>9</v>
      </c>
      <c r="P4" s="139"/>
      <c r="S4" s="56"/>
    </row>
    <row r="5" spans="1:19" ht="18" customHeight="1" x14ac:dyDescent="0.35">
      <c r="A5" s="4" t="s">
        <v>41</v>
      </c>
      <c r="B5" s="33" t="s">
        <v>162</v>
      </c>
      <c r="C5" s="122" t="s">
        <v>19</v>
      </c>
      <c r="D5" s="122">
        <v>21.5</v>
      </c>
      <c r="E5" s="122">
        <v>17.899999999999999</v>
      </c>
      <c r="F5" s="122">
        <v>22.7</v>
      </c>
      <c r="G5" s="122">
        <v>20.100000000000001</v>
      </c>
      <c r="H5" s="122">
        <v>29.4</v>
      </c>
      <c r="I5" s="122">
        <v>28.3</v>
      </c>
      <c r="J5" s="122">
        <v>16.899999999999999</v>
      </c>
      <c r="K5" s="122">
        <v>56</v>
      </c>
      <c r="L5" s="5"/>
      <c r="M5" s="5"/>
      <c r="N5" s="5"/>
      <c r="O5" s="5"/>
      <c r="P5" s="5"/>
    </row>
    <row r="6" spans="1:19" ht="48" x14ac:dyDescent="0.35">
      <c r="A6" s="45">
        <v>1</v>
      </c>
      <c r="B6" s="41" t="s">
        <v>190</v>
      </c>
      <c r="C6" s="8" t="s">
        <v>17</v>
      </c>
      <c r="D6" s="30">
        <f>0.18*0.3*D5</f>
        <v>1.161</v>
      </c>
      <c r="E6" s="30">
        <f t="shared" ref="E6:J6" si="0">0.18*0.3*E5</f>
        <v>0.9665999999999999</v>
      </c>
      <c r="F6" s="30">
        <f t="shared" si="0"/>
        <v>1.2258</v>
      </c>
      <c r="G6" s="30">
        <f t="shared" si="0"/>
        <v>1.0854000000000001</v>
      </c>
      <c r="H6" s="30">
        <f t="shared" si="0"/>
        <v>1.5875999999999999</v>
      </c>
      <c r="I6" s="30">
        <f t="shared" si="0"/>
        <v>1.5282</v>
      </c>
      <c r="J6" s="30">
        <f t="shared" si="0"/>
        <v>0.91259999999999997</v>
      </c>
      <c r="K6" s="127">
        <f>D6*$D$2+E6*$E$2+F6*$F$2+G6*$G$2+H6*$H$2+I6*$I$2+J6*$J$2+0.18*0.3*K5</f>
        <v>53.697599999999994</v>
      </c>
      <c r="L6" s="9"/>
      <c r="M6" s="10">
        <f>K6*L6</f>
        <v>0</v>
      </c>
      <c r="N6" s="10">
        <f>L6/$P$2</f>
        <v>0</v>
      </c>
      <c r="O6" s="10">
        <f>K6*N6</f>
        <v>0</v>
      </c>
      <c r="P6" s="7"/>
      <c r="Q6" s="28"/>
    </row>
    <row r="7" spans="1:19" ht="16" x14ac:dyDescent="0.35">
      <c r="A7" s="55" t="s">
        <v>42</v>
      </c>
      <c r="B7" s="33" t="s">
        <v>151</v>
      </c>
      <c r="C7" s="8"/>
      <c r="D7" s="8"/>
      <c r="E7" s="8"/>
      <c r="F7" s="8"/>
      <c r="G7" s="8"/>
      <c r="H7" s="8"/>
      <c r="I7" s="8"/>
      <c r="J7" s="8"/>
      <c r="K7" s="127"/>
      <c r="L7" s="30"/>
      <c r="M7" s="10"/>
      <c r="N7" s="10"/>
      <c r="O7" s="10"/>
      <c r="P7" s="7"/>
      <c r="Q7" s="28"/>
    </row>
    <row r="8" spans="1:19" ht="32" x14ac:dyDescent="0.35">
      <c r="A8" s="6">
        <v>2</v>
      </c>
      <c r="B8" s="7" t="s">
        <v>189</v>
      </c>
      <c r="C8" s="8" t="s">
        <v>17</v>
      </c>
      <c r="D8" s="8">
        <f>(0.05*0.3)*D5</f>
        <v>0.32250000000000001</v>
      </c>
      <c r="E8" s="8">
        <f t="shared" ref="E8:J8" si="1">(0.05*0.3)*E5</f>
        <v>0.26849999999999996</v>
      </c>
      <c r="F8" s="8">
        <f t="shared" si="1"/>
        <v>0.34049999999999997</v>
      </c>
      <c r="G8" s="8">
        <f t="shared" si="1"/>
        <v>0.30149999999999999</v>
      </c>
      <c r="H8" s="8">
        <f t="shared" si="1"/>
        <v>0.44099999999999995</v>
      </c>
      <c r="I8" s="8">
        <f t="shared" si="1"/>
        <v>0.42449999999999999</v>
      </c>
      <c r="J8" s="8">
        <f t="shared" si="1"/>
        <v>0.25349999999999995</v>
      </c>
      <c r="K8" s="127">
        <f>D8*$D$2+E8*$E$2+F8*$F$2+G8*$G$2+H8*$H$2+I8*$I$2+J8*$J$2+(0.05*0.3)*K5</f>
        <v>14.915999999999997</v>
      </c>
      <c r="L8" s="9"/>
      <c r="M8" s="10">
        <f>K8*L8</f>
        <v>0</v>
      </c>
      <c r="N8" s="10">
        <f>L8/$P$2</f>
        <v>0</v>
      </c>
      <c r="O8" s="10">
        <f>K8*N8</f>
        <v>0</v>
      </c>
      <c r="P8" s="7"/>
      <c r="Q8" s="28"/>
    </row>
    <row r="9" spans="1:19" ht="64" x14ac:dyDescent="0.35">
      <c r="A9" s="45">
        <v>3</v>
      </c>
      <c r="B9" s="7" t="s">
        <v>170</v>
      </c>
      <c r="C9" s="40" t="s">
        <v>10</v>
      </c>
      <c r="D9" s="40">
        <f>0.25*D5</f>
        <v>5.375</v>
      </c>
      <c r="E9" s="40">
        <f t="shared" ref="E9:J9" si="2">0.25*E5</f>
        <v>4.4749999999999996</v>
      </c>
      <c r="F9" s="40">
        <f t="shared" si="2"/>
        <v>5.6749999999999998</v>
      </c>
      <c r="G9" s="40">
        <f t="shared" si="2"/>
        <v>5.0250000000000004</v>
      </c>
      <c r="H9" s="40">
        <f t="shared" si="2"/>
        <v>7.35</v>
      </c>
      <c r="I9" s="40">
        <f t="shared" si="2"/>
        <v>7.0750000000000002</v>
      </c>
      <c r="J9" s="40">
        <f t="shared" si="2"/>
        <v>4.2249999999999996</v>
      </c>
      <c r="K9" s="127">
        <f>D9*$D$2+E9*$E$2+F9*$F$2+G9*$G$2+H9*$H$2+I9*$I$2+J9*$J$2+0.25*K5</f>
        <v>248.60000000000002</v>
      </c>
      <c r="L9" s="9"/>
      <c r="M9" s="10">
        <f>K9*L9</f>
        <v>0</v>
      </c>
      <c r="N9" s="10">
        <f>L9/$P$2</f>
        <v>0</v>
      </c>
      <c r="O9" s="10">
        <f>K9*N9</f>
        <v>0</v>
      </c>
      <c r="P9" s="7"/>
      <c r="Q9" s="28"/>
    </row>
    <row r="10" spans="1:19" ht="16" x14ac:dyDescent="0.35">
      <c r="A10" s="6"/>
      <c r="B10" s="46" t="s">
        <v>44</v>
      </c>
      <c r="C10" s="52"/>
      <c r="D10" s="52"/>
      <c r="E10" s="52"/>
      <c r="F10" s="52"/>
      <c r="G10" s="52"/>
      <c r="H10" s="52"/>
      <c r="I10" s="52"/>
      <c r="J10" s="52"/>
      <c r="K10" s="52"/>
      <c r="L10" s="52"/>
      <c r="M10" s="51">
        <f>SUM(M6:M9)</f>
        <v>0</v>
      </c>
      <c r="N10" s="51"/>
      <c r="O10" s="51">
        <f>SUM(O6:O9)</f>
        <v>0</v>
      </c>
      <c r="P10" s="49"/>
    </row>
    <row r="11" spans="1:19" ht="16" x14ac:dyDescent="0.35">
      <c r="A11" s="6"/>
      <c r="B11" s="5"/>
      <c r="C11" s="5"/>
      <c r="D11" s="5"/>
      <c r="E11" s="5"/>
      <c r="F11" s="5"/>
      <c r="G11" s="5"/>
      <c r="H11" s="5"/>
      <c r="I11" s="5"/>
      <c r="J11" s="5"/>
      <c r="K11" s="5"/>
      <c r="L11" s="12"/>
      <c r="M11" s="12"/>
      <c r="N11" s="12"/>
      <c r="O11" s="12"/>
      <c r="P11" s="13"/>
    </row>
    <row r="12" spans="1:19" ht="16" x14ac:dyDescent="0.35">
      <c r="A12" s="55" t="s">
        <v>126</v>
      </c>
      <c r="B12" s="33" t="s">
        <v>31</v>
      </c>
      <c r="C12" s="14">
        <v>1.7</v>
      </c>
      <c r="D12" s="14"/>
      <c r="E12" s="14"/>
      <c r="F12" s="14"/>
      <c r="G12" s="14"/>
      <c r="H12" s="14"/>
      <c r="I12" s="14"/>
      <c r="J12" s="14"/>
      <c r="K12" s="14"/>
      <c r="L12" s="14"/>
      <c r="M12" s="14"/>
      <c r="N12" s="14"/>
      <c r="O12" s="14"/>
      <c r="P12" s="15"/>
    </row>
    <row r="13" spans="1:19" ht="68" customHeight="1" x14ac:dyDescent="0.35">
      <c r="A13" s="6">
        <v>4</v>
      </c>
      <c r="B13" s="57" t="s">
        <v>49</v>
      </c>
      <c r="C13" s="8" t="s">
        <v>10</v>
      </c>
      <c r="D13" s="8">
        <f>(D5-1)*$C$12</f>
        <v>34.85</v>
      </c>
      <c r="E13" s="8">
        <f t="shared" ref="E13:J13" si="3">(E5-1)*$C$12</f>
        <v>28.729999999999997</v>
      </c>
      <c r="F13" s="8">
        <f t="shared" si="3"/>
        <v>36.89</v>
      </c>
      <c r="G13" s="8">
        <f t="shared" si="3"/>
        <v>32.47</v>
      </c>
      <c r="H13" s="8">
        <f t="shared" si="3"/>
        <v>48.279999999999994</v>
      </c>
      <c r="I13" s="8">
        <f t="shared" si="3"/>
        <v>46.41</v>
      </c>
      <c r="J13" s="8">
        <f t="shared" si="3"/>
        <v>27.029999999999998</v>
      </c>
      <c r="K13" s="127">
        <f>D13*$D$2+E13*$E$2+F13*$F$2+G13*$G$2+H13*$H$2+I13*$I$2+J13*$J$2+C12*K5</f>
        <v>1615.6799999999998</v>
      </c>
      <c r="L13" s="9"/>
      <c r="M13" s="10">
        <f>K13*L13</f>
        <v>0</v>
      </c>
      <c r="N13" s="10">
        <f>L13/$P$2</f>
        <v>0</v>
      </c>
      <c r="O13" s="10">
        <f>K13*N13</f>
        <v>0</v>
      </c>
      <c r="P13" s="7" t="s">
        <v>179</v>
      </c>
    </row>
    <row r="14" spans="1:19" ht="65.5" customHeight="1" x14ac:dyDescent="0.35">
      <c r="A14" s="6">
        <v>5</v>
      </c>
      <c r="B14" s="57" t="s">
        <v>171</v>
      </c>
      <c r="C14" s="8" t="s">
        <v>10</v>
      </c>
      <c r="D14" s="8">
        <f>D13*2</f>
        <v>69.7</v>
      </c>
      <c r="E14" s="8">
        <f t="shared" ref="E14:J14" si="4">E13*2</f>
        <v>57.459999999999994</v>
      </c>
      <c r="F14" s="8">
        <f t="shared" si="4"/>
        <v>73.78</v>
      </c>
      <c r="G14" s="8">
        <f t="shared" si="4"/>
        <v>64.94</v>
      </c>
      <c r="H14" s="8">
        <f t="shared" si="4"/>
        <v>96.559999999999988</v>
      </c>
      <c r="I14" s="8">
        <f t="shared" si="4"/>
        <v>92.82</v>
      </c>
      <c r="J14" s="8">
        <f t="shared" si="4"/>
        <v>54.059999999999995</v>
      </c>
      <c r="K14" s="127">
        <f>D14*$D$2+E14*$E$2+F14*$F$2+G14*$G$2+H14*$H$2+I14*$I$2+J14*$J$2+C12*K5*2</f>
        <v>3231.3599999999997</v>
      </c>
      <c r="L14" s="9"/>
      <c r="M14" s="10">
        <f>K14*L14</f>
        <v>0</v>
      </c>
      <c r="N14" s="10">
        <f>L14/$P$2</f>
        <v>0</v>
      </c>
      <c r="O14" s="10">
        <f>K14*N14</f>
        <v>0</v>
      </c>
      <c r="P14" s="7"/>
    </row>
    <row r="15" spans="1:19" ht="16" x14ac:dyDescent="0.35">
      <c r="A15" s="6"/>
      <c r="B15" s="46" t="s">
        <v>29</v>
      </c>
      <c r="C15" s="50"/>
      <c r="D15" s="50"/>
      <c r="E15" s="50"/>
      <c r="F15" s="50"/>
      <c r="G15" s="50"/>
      <c r="H15" s="50"/>
      <c r="I15" s="50"/>
      <c r="J15" s="50"/>
      <c r="K15" s="50"/>
      <c r="L15" s="50"/>
      <c r="M15" s="51">
        <f>SUM(M13:M14)</f>
        <v>0</v>
      </c>
      <c r="N15" s="50"/>
      <c r="O15" s="51">
        <f>SUM(O13:O14)</f>
        <v>0</v>
      </c>
      <c r="P15" s="50"/>
    </row>
    <row r="16" spans="1:19" ht="16" x14ac:dyDescent="0.35">
      <c r="A16" s="6"/>
      <c r="B16" s="14"/>
      <c r="C16" s="17"/>
      <c r="D16" s="17"/>
      <c r="E16" s="17"/>
      <c r="F16" s="17"/>
      <c r="G16" s="17"/>
      <c r="H16" s="17"/>
      <c r="I16" s="17"/>
      <c r="J16" s="17"/>
      <c r="K16" s="17"/>
      <c r="L16" s="17"/>
      <c r="M16" s="17"/>
      <c r="N16" s="17"/>
      <c r="O16" s="17"/>
      <c r="P16" s="14"/>
    </row>
    <row r="17" spans="1:16" ht="16" x14ac:dyDescent="0.35">
      <c r="A17" s="55" t="s">
        <v>155</v>
      </c>
      <c r="B17" s="32" t="s">
        <v>173</v>
      </c>
      <c r="C17" s="17"/>
      <c r="D17" s="17"/>
      <c r="E17" s="17"/>
      <c r="F17" s="17"/>
      <c r="G17" s="17"/>
      <c r="H17" s="17"/>
      <c r="I17" s="17"/>
      <c r="J17" s="17"/>
      <c r="K17" s="17"/>
      <c r="L17" s="17"/>
      <c r="M17" s="17"/>
      <c r="N17" s="17"/>
      <c r="O17" s="17"/>
      <c r="P17" s="14"/>
    </row>
    <row r="18" spans="1:16" ht="54" customHeight="1" x14ac:dyDescent="0.35">
      <c r="A18" s="36">
        <v>6</v>
      </c>
      <c r="B18" s="37" t="s">
        <v>174</v>
      </c>
      <c r="C18" s="38" t="s">
        <v>18</v>
      </c>
      <c r="D18" s="34">
        <v>2</v>
      </c>
      <c r="E18" s="34">
        <v>2</v>
      </c>
      <c r="F18" s="34">
        <v>2</v>
      </c>
      <c r="G18" s="34">
        <v>2</v>
      </c>
      <c r="H18" s="34">
        <v>2</v>
      </c>
      <c r="I18" s="34">
        <v>2</v>
      </c>
      <c r="J18" s="34">
        <v>4</v>
      </c>
      <c r="K18" s="127">
        <f>D18*$D$2+E18*$E$2+F18*$F$2+G18*$G$2+H18*$H$2+I18*$I$2+J18*$J$2</f>
        <v>88</v>
      </c>
      <c r="L18" s="18"/>
      <c r="M18" s="10">
        <f>K18*L18</f>
        <v>0</v>
      </c>
      <c r="N18" s="10">
        <f>L18/$P$2</f>
        <v>0</v>
      </c>
      <c r="O18" s="10">
        <f>K18*N18</f>
        <v>0</v>
      </c>
      <c r="P18" s="7"/>
    </row>
    <row r="19" spans="1:16" ht="52" customHeight="1" x14ac:dyDescent="0.35">
      <c r="A19" s="6">
        <v>7</v>
      </c>
      <c r="B19" s="7" t="s">
        <v>172</v>
      </c>
      <c r="C19" s="10" t="s">
        <v>18</v>
      </c>
      <c r="D19" s="10">
        <v>1</v>
      </c>
      <c r="E19" s="10">
        <v>1</v>
      </c>
      <c r="F19" s="10">
        <v>1</v>
      </c>
      <c r="G19" s="10">
        <v>1</v>
      </c>
      <c r="H19" s="10">
        <v>1</v>
      </c>
      <c r="I19" s="10">
        <v>1</v>
      </c>
      <c r="J19" s="10">
        <v>2</v>
      </c>
      <c r="K19" s="127">
        <f>D19*$D$2+E19*$E$2+F19*$F$2+G19*$G$2+H19*$H$2+I19*$I$2+J19*$J$2</f>
        <v>44</v>
      </c>
      <c r="L19" s="18"/>
      <c r="M19" s="10">
        <f>K19*L19</f>
        <v>0</v>
      </c>
      <c r="N19" s="10">
        <f>L19/$P$2</f>
        <v>0</v>
      </c>
      <c r="O19" s="10">
        <f>K19*N19</f>
        <v>0</v>
      </c>
      <c r="P19" s="16"/>
    </row>
    <row r="20" spans="1:16" ht="16" x14ac:dyDescent="0.35">
      <c r="A20" s="6"/>
      <c r="B20" s="46" t="s">
        <v>175</v>
      </c>
      <c r="C20" s="49"/>
      <c r="D20" s="49"/>
      <c r="E20" s="49"/>
      <c r="F20" s="49"/>
      <c r="G20" s="49"/>
      <c r="H20" s="49"/>
      <c r="I20" s="49"/>
      <c r="J20" s="49"/>
      <c r="K20" s="49"/>
      <c r="L20" s="49"/>
      <c r="M20" s="48">
        <f>SUM(M18:M19)</f>
        <v>0</v>
      </c>
      <c r="N20" s="49"/>
      <c r="O20" s="48">
        <f>SUM(O19:O19)</f>
        <v>0</v>
      </c>
      <c r="P20" s="47"/>
    </row>
    <row r="21" spans="1:16" ht="16" x14ac:dyDescent="0.35">
      <c r="A21" s="6"/>
      <c r="B21" s="14"/>
      <c r="C21" s="14"/>
      <c r="D21" s="14"/>
      <c r="E21" s="14"/>
      <c r="F21" s="14"/>
      <c r="G21" s="14"/>
      <c r="H21" s="14"/>
      <c r="I21" s="14"/>
      <c r="J21" s="14"/>
      <c r="K21" s="14"/>
      <c r="L21" s="14"/>
      <c r="M21" s="14"/>
      <c r="N21" s="14"/>
      <c r="O21" s="14"/>
      <c r="P21" s="14"/>
    </row>
    <row r="22" spans="1:16" ht="16" x14ac:dyDescent="0.35">
      <c r="A22" s="55" t="s">
        <v>176</v>
      </c>
      <c r="B22" s="32" t="s">
        <v>37</v>
      </c>
      <c r="C22" s="17"/>
      <c r="D22" s="21"/>
      <c r="E22" s="21"/>
      <c r="F22" s="21"/>
      <c r="G22" s="21"/>
      <c r="H22" s="21"/>
      <c r="I22" s="21"/>
      <c r="J22" s="21"/>
      <c r="K22" s="21"/>
      <c r="L22" s="30"/>
      <c r="M22" s="26"/>
      <c r="N22" s="10"/>
      <c r="O22" s="26"/>
      <c r="P22" s="31"/>
    </row>
    <row r="23" spans="1:16" ht="47" customHeight="1" x14ac:dyDescent="0.35">
      <c r="A23" s="6">
        <v>8</v>
      </c>
      <c r="B23" s="7" t="s">
        <v>55</v>
      </c>
      <c r="C23" s="10" t="s">
        <v>18</v>
      </c>
      <c r="D23" s="21">
        <v>1</v>
      </c>
      <c r="E23" s="21">
        <v>1</v>
      </c>
      <c r="F23" s="21">
        <v>1</v>
      </c>
      <c r="G23" s="21">
        <v>1</v>
      </c>
      <c r="H23" s="21">
        <v>1</v>
      </c>
      <c r="I23" s="21">
        <v>1</v>
      </c>
      <c r="J23" s="21">
        <v>2</v>
      </c>
      <c r="K23" s="127">
        <f>D23*$D$2+E23*$E$2+F23*$F$2+G23*$G$2+H23*$H$2+I23*$I$2+J23*$J$2</f>
        <v>44</v>
      </c>
      <c r="L23" s="18"/>
      <c r="M23" s="10">
        <f>K23*L23</f>
        <v>0</v>
      </c>
      <c r="N23" s="10">
        <f>L23/$P$2</f>
        <v>0</v>
      </c>
      <c r="O23" s="10">
        <f>K23*N23</f>
        <v>0</v>
      </c>
      <c r="P23" s="31" t="s">
        <v>91</v>
      </c>
    </row>
    <row r="24" spans="1:16" ht="32" x14ac:dyDescent="0.35">
      <c r="A24" s="6">
        <v>9</v>
      </c>
      <c r="B24" s="7" t="s">
        <v>54</v>
      </c>
      <c r="C24" s="10" t="s">
        <v>18</v>
      </c>
      <c r="D24" s="21">
        <v>1</v>
      </c>
      <c r="E24" s="21">
        <v>1</v>
      </c>
      <c r="F24" s="21">
        <v>1</v>
      </c>
      <c r="G24" s="21">
        <v>1</v>
      </c>
      <c r="H24" s="21">
        <v>1</v>
      </c>
      <c r="I24" s="21">
        <v>1</v>
      </c>
      <c r="J24" s="21">
        <v>2</v>
      </c>
      <c r="K24" s="127">
        <f>D24*$D$2+E24*$E$2+F24*$F$2+G24*$G$2+H24*$H$2+I24*$I$2+J24*$J$2</f>
        <v>44</v>
      </c>
      <c r="L24" s="18"/>
      <c r="M24" s="10">
        <f>K24*L24</f>
        <v>0</v>
      </c>
      <c r="N24" s="10">
        <f>L24/$P$2</f>
        <v>0</v>
      </c>
      <c r="O24" s="10">
        <f>K24*N24</f>
        <v>0</v>
      </c>
      <c r="P24" s="14"/>
    </row>
    <row r="25" spans="1:16" ht="16" x14ac:dyDescent="0.35">
      <c r="A25" s="22"/>
      <c r="B25" s="11" t="s">
        <v>38</v>
      </c>
      <c r="C25" s="20"/>
      <c r="D25" s="20"/>
      <c r="E25" s="20"/>
      <c r="F25" s="20"/>
      <c r="G25" s="20"/>
      <c r="H25" s="20"/>
      <c r="I25" s="20"/>
      <c r="J25" s="20"/>
      <c r="K25" s="20"/>
      <c r="L25" s="20"/>
      <c r="M25" s="19">
        <f>SUM(M23:M24)</f>
        <v>0</v>
      </c>
      <c r="N25" s="20"/>
      <c r="O25" s="19">
        <f>SUM(O23:O24)</f>
        <v>0</v>
      </c>
      <c r="P25" s="20"/>
    </row>
    <row r="26" spans="1:16" s="28" customFormat="1" ht="16" x14ac:dyDescent="0.35">
      <c r="A26" s="65"/>
      <c r="B26" s="66"/>
      <c r="C26" s="67"/>
      <c r="D26" s="67"/>
      <c r="E26" s="67"/>
      <c r="F26" s="67"/>
      <c r="G26" s="67"/>
      <c r="H26" s="67"/>
      <c r="I26" s="67"/>
      <c r="J26" s="67"/>
      <c r="K26" s="67"/>
      <c r="L26" s="67"/>
      <c r="M26" s="68"/>
      <c r="N26" s="67"/>
      <c r="O26" s="68"/>
      <c r="P26" s="67"/>
    </row>
    <row r="27" spans="1:16" s="28" customFormat="1" ht="16" x14ac:dyDescent="0.35">
      <c r="A27" s="65"/>
      <c r="B27" s="46" t="s">
        <v>44</v>
      </c>
      <c r="C27" s="67"/>
      <c r="D27" s="67"/>
      <c r="E27" s="67"/>
      <c r="F27" s="67"/>
      <c r="G27" s="67"/>
      <c r="H27" s="67"/>
      <c r="I27" s="67"/>
      <c r="J27" s="67"/>
      <c r="K27" s="67"/>
      <c r="L27" s="67"/>
      <c r="M27" s="68">
        <f>M10</f>
        <v>0</v>
      </c>
      <c r="N27" s="67"/>
      <c r="O27" s="68">
        <f>O10</f>
        <v>0</v>
      </c>
      <c r="P27" s="67"/>
    </row>
    <row r="28" spans="1:16" s="28" customFormat="1" ht="16" x14ac:dyDescent="0.35">
      <c r="A28" s="65"/>
      <c r="B28" s="46" t="s">
        <v>29</v>
      </c>
      <c r="C28" s="67"/>
      <c r="D28" s="67"/>
      <c r="E28" s="67"/>
      <c r="F28" s="67"/>
      <c r="G28" s="67"/>
      <c r="H28" s="67"/>
      <c r="I28" s="67"/>
      <c r="J28" s="67"/>
      <c r="K28" s="67"/>
      <c r="L28" s="67"/>
      <c r="M28" s="68">
        <f>M15</f>
        <v>0</v>
      </c>
      <c r="N28" s="67"/>
      <c r="O28" s="68">
        <f>O15</f>
        <v>0</v>
      </c>
      <c r="P28" s="67"/>
    </row>
    <row r="29" spans="1:16" s="28" customFormat="1" ht="16" x14ac:dyDescent="0.35">
      <c r="A29" s="65"/>
      <c r="B29" s="46" t="s">
        <v>83</v>
      </c>
      <c r="C29" s="67"/>
      <c r="D29" s="67"/>
      <c r="E29" s="67"/>
      <c r="F29" s="67"/>
      <c r="G29" s="67"/>
      <c r="H29" s="67"/>
      <c r="I29" s="67"/>
      <c r="J29" s="67"/>
      <c r="K29" s="67"/>
      <c r="L29" s="67"/>
      <c r="M29" s="68">
        <f>M20</f>
        <v>0</v>
      </c>
      <c r="N29" s="67"/>
      <c r="O29" s="68">
        <f>O20</f>
        <v>0</v>
      </c>
      <c r="P29" s="67"/>
    </row>
    <row r="30" spans="1:16" s="28" customFormat="1" ht="16" x14ac:dyDescent="0.35">
      <c r="A30" s="65"/>
      <c r="B30" s="46" t="s">
        <v>38</v>
      </c>
      <c r="C30" s="67"/>
      <c r="D30" s="67"/>
      <c r="E30" s="67"/>
      <c r="F30" s="67"/>
      <c r="G30" s="67"/>
      <c r="H30" s="67"/>
      <c r="I30" s="67"/>
      <c r="J30" s="67"/>
      <c r="K30" s="67"/>
      <c r="L30" s="67"/>
      <c r="M30" s="68">
        <f>M25</f>
        <v>0</v>
      </c>
      <c r="N30" s="67"/>
      <c r="O30" s="68">
        <f>O25</f>
        <v>0</v>
      </c>
      <c r="P30" s="67"/>
    </row>
    <row r="31" spans="1:16" s="28" customFormat="1" x14ac:dyDescent="0.35">
      <c r="A31" s="65"/>
      <c r="B31" s="67"/>
      <c r="C31" s="67"/>
      <c r="D31" s="67"/>
      <c r="E31" s="67"/>
      <c r="F31" s="67"/>
      <c r="G31" s="67"/>
      <c r="H31" s="67"/>
      <c r="I31" s="67"/>
      <c r="J31" s="67"/>
      <c r="K31" s="67"/>
      <c r="L31" s="67"/>
      <c r="M31" s="67"/>
      <c r="N31" s="67"/>
      <c r="O31" s="67"/>
      <c r="P31" s="67"/>
    </row>
    <row r="32" spans="1:16" ht="16.5" x14ac:dyDescent="0.35">
      <c r="A32" s="22"/>
      <c r="B32" s="23" t="s">
        <v>188</v>
      </c>
      <c r="C32" s="24"/>
      <c r="D32" s="24"/>
      <c r="E32" s="24"/>
      <c r="F32" s="24"/>
      <c r="G32" s="24"/>
      <c r="H32" s="24"/>
      <c r="I32" s="24"/>
      <c r="J32" s="24"/>
      <c r="K32" s="24"/>
      <c r="L32" s="72" t="s">
        <v>89</v>
      </c>
      <c r="M32" s="69">
        <f>SUM(M27:M30)</f>
        <v>0</v>
      </c>
      <c r="N32" s="72" t="s">
        <v>90</v>
      </c>
      <c r="O32" s="69">
        <f>SUM(O27:O30)</f>
        <v>0</v>
      </c>
      <c r="P32" s="24"/>
    </row>
    <row r="33" spans="14:15" x14ac:dyDescent="0.35">
      <c r="N33" s="73" t="s">
        <v>88</v>
      </c>
      <c r="O33" s="128">
        <f>O32*0.759</f>
        <v>0</v>
      </c>
    </row>
  </sheetData>
  <mergeCells count="15">
    <mergeCell ref="A1:P1"/>
    <mergeCell ref="A3:A4"/>
    <mergeCell ref="B3:B4"/>
    <mergeCell ref="C3:C4"/>
    <mergeCell ref="D3:D4"/>
    <mergeCell ref="E3:E4"/>
    <mergeCell ref="F3:F4"/>
    <mergeCell ref="G3:G4"/>
    <mergeCell ref="H3:H4"/>
    <mergeCell ref="I3:I4"/>
    <mergeCell ref="J3:J4"/>
    <mergeCell ref="K3:K4"/>
    <mergeCell ref="L3:M3"/>
    <mergeCell ref="N3:O3"/>
    <mergeCell ref="P3:P4"/>
  </mergeCells>
  <pageMargins left="0.7" right="0.7" top="0.75" bottom="0.75" header="0.3" footer="0.3"/>
  <pageSetup orientation="landscape" r:id="rId1"/>
  <headerFooter>
    <oddHeader>&amp;F</oddHead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12BC2-983A-4CBA-ADC9-9A82F55572E0}">
  <dimension ref="A1:I38"/>
  <sheetViews>
    <sheetView topLeftCell="A7" workbookViewId="0">
      <selection activeCell="A2" sqref="A2"/>
    </sheetView>
  </sheetViews>
  <sheetFormatPr defaultRowHeight="14.5" x14ac:dyDescent="0.35"/>
  <cols>
    <col min="1" max="1" width="6.90625" customWidth="1"/>
    <col min="2" max="2" width="82" customWidth="1"/>
    <col min="3" max="3" width="7.6328125" customWidth="1"/>
    <col min="4" max="4" width="10.81640625" customWidth="1"/>
    <col min="5" max="5" width="11.6328125" customWidth="1"/>
    <col min="6" max="6" width="14.453125" customWidth="1"/>
    <col min="7" max="7" width="11.54296875" customWidth="1"/>
    <col min="8" max="8" width="52.453125" customWidth="1"/>
    <col min="9" max="9" width="9.54296875" bestFit="1" customWidth="1"/>
  </cols>
  <sheetData>
    <row r="1" spans="1:9" ht="32" customHeight="1" x14ac:dyDescent="0.35">
      <c r="A1" s="148" t="s">
        <v>191</v>
      </c>
      <c r="B1" s="149"/>
      <c r="C1" s="149"/>
      <c r="D1" s="149"/>
      <c r="E1" s="149"/>
      <c r="F1" s="149"/>
      <c r="G1" s="149"/>
      <c r="H1" s="150"/>
      <c r="I1" s="20"/>
    </row>
    <row r="2" spans="1:9" ht="30" x14ac:dyDescent="0.35">
      <c r="A2" s="74" t="s">
        <v>98</v>
      </c>
      <c r="B2" s="74" t="s">
        <v>99</v>
      </c>
      <c r="C2" s="74" t="s">
        <v>100</v>
      </c>
      <c r="D2" s="74" t="s">
        <v>101</v>
      </c>
      <c r="E2" s="75" t="s">
        <v>102</v>
      </c>
      <c r="F2" s="75" t="s">
        <v>103</v>
      </c>
      <c r="G2" s="76" t="s">
        <v>104</v>
      </c>
      <c r="H2" s="77" t="s">
        <v>5</v>
      </c>
      <c r="I2" s="78">
        <f>414.89</f>
        <v>414.89</v>
      </c>
    </row>
    <row r="3" spans="1:9" ht="15.5" x14ac:dyDescent="0.35">
      <c r="A3" s="79" t="s">
        <v>41</v>
      </c>
      <c r="B3" s="80" t="s">
        <v>105</v>
      </c>
      <c r="C3" s="81"/>
      <c r="D3" s="81"/>
      <c r="E3" s="81"/>
      <c r="F3" s="81"/>
      <c r="G3" s="80"/>
      <c r="H3" s="80"/>
      <c r="I3" s="20"/>
    </row>
    <row r="4" spans="1:9" ht="15.5" x14ac:dyDescent="0.35">
      <c r="A4" s="82">
        <v>1</v>
      </c>
      <c r="B4" s="83" t="s">
        <v>106</v>
      </c>
      <c r="C4" s="82" t="s">
        <v>107</v>
      </c>
      <c r="D4" s="84">
        <f>1.8*2.1*2.05</f>
        <v>7.7489999999999997</v>
      </c>
      <c r="E4" s="85"/>
      <c r="F4" s="86">
        <f>D4*E4</f>
        <v>0</v>
      </c>
      <c r="G4" s="87">
        <f>F4/I2</f>
        <v>0</v>
      </c>
      <c r="H4" s="88"/>
      <c r="I4" s="20"/>
    </row>
    <row r="5" spans="1:9" ht="31" x14ac:dyDescent="0.35">
      <c r="A5" s="82">
        <v>2</v>
      </c>
      <c r="B5" s="83" t="s">
        <v>108</v>
      </c>
      <c r="C5" s="82" t="s">
        <v>107</v>
      </c>
      <c r="D5" s="84">
        <f>((2.1*1.8)-(1.5*1.2))*2.05+0.1+0.36</f>
        <v>4.5190000000000001</v>
      </c>
      <c r="E5" s="85"/>
      <c r="F5" s="86">
        <f>D5*E5</f>
        <v>0</v>
      </c>
      <c r="G5" s="87">
        <f>F5/I2</f>
        <v>0</v>
      </c>
      <c r="H5" s="89" t="s">
        <v>109</v>
      </c>
      <c r="I5" s="20"/>
    </row>
    <row r="6" spans="1:9" ht="15" x14ac:dyDescent="0.35">
      <c r="A6" s="79"/>
      <c r="B6" s="80" t="s">
        <v>110</v>
      </c>
      <c r="C6" s="79"/>
      <c r="D6" s="79"/>
      <c r="E6" s="90"/>
      <c r="F6" s="91">
        <f>SUM(F3:F5)</f>
        <v>0</v>
      </c>
      <c r="G6" s="91">
        <f>SUM(G3:G5)</f>
        <v>0</v>
      </c>
      <c r="H6" s="91"/>
      <c r="I6" s="20"/>
    </row>
    <row r="7" spans="1:9" ht="15.5" x14ac:dyDescent="0.35">
      <c r="A7" s="79" t="s">
        <v>42</v>
      </c>
      <c r="B7" s="80" t="s">
        <v>111</v>
      </c>
      <c r="C7" s="81"/>
      <c r="D7" s="81"/>
      <c r="E7" s="90"/>
      <c r="F7" s="81"/>
      <c r="G7" s="80"/>
      <c r="H7" s="80"/>
      <c r="I7" s="20"/>
    </row>
    <row r="8" spans="1:9" ht="31" x14ac:dyDescent="0.35">
      <c r="A8" s="82">
        <v>3</v>
      </c>
      <c r="B8" s="83" t="s">
        <v>112</v>
      </c>
      <c r="C8" s="82" t="s">
        <v>107</v>
      </c>
      <c r="D8" s="92">
        <f>(0.15*0.55)*(1.05*2+1.35*2)+(0.075*0.3)*((0.525*2+1.05)+(1.05*3)+1)</f>
        <v>0.53662500000000013</v>
      </c>
      <c r="E8" s="85"/>
      <c r="F8" s="86">
        <f t="shared" ref="F8:F15" si="0">D8*E8</f>
        <v>0</v>
      </c>
      <c r="G8" s="93">
        <f>F8/$I$2</f>
        <v>0</v>
      </c>
      <c r="H8" s="94"/>
      <c r="I8" s="20"/>
    </row>
    <row r="9" spans="1:9" ht="46.5" x14ac:dyDescent="0.35">
      <c r="A9" s="82">
        <v>4</v>
      </c>
      <c r="B9" s="97" t="s">
        <v>122</v>
      </c>
      <c r="C9" s="82" t="s">
        <v>123</v>
      </c>
      <c r="D9" s="84">
        <f>16.4+(0.525*2+1.05)*(0.23*2)+1*(0.23*2)</f>
        <v>17.826000000000001</v>
      </c>
      <c r="E9" s="85"/>
      <c r="F9" s="86">
        <f>D9*E9</f>
        <v>0</v>
      </c>
      <c r="G9" s="93">
        <f>F9/$I$2</f>
        <v>0</v>
      </c>
      <c r="H9" s="98"/>
      <c r="I9" s="20"/>
    </row>
    <row r="10" spans="1:9" ht="62" x14ac:dyDescent="0.35">
      <c r="A10" s="82">
        <v>5</v>
      </c>
      <c r="B10" s="99" t="s">
        <v>118</v>
      </c>
      <c r="C10" s="82" t="s">
        <v>107</v>
      </c>
      <c r="D10" s="96">
        <f>(1.5*1.2*0.1)+(0.6*1.2*0.08)</f>
        <v>0.23759999999999998</v>
      </c>
      <c r="E10" s="85"/>
      <c r="F10" s="86">
        <f>D10*E10</f>
        <v>0</v>
      </c>
      <c r="G10" s="93">
        <f>F10/I2</f>
        <v>0</v>
      </c>
      <c r="H10" s="98"/>
      <c r="I10" s="20"/>
    </row>
    <row r="11" spans="1:9" ht="19" customHeight="1" x14ac:dyDescent="0.35">
      <c r="A11" s="82">
        <v>6</v>
      </c>
      <c r="B11" s="97" t="s">
        <v>119</v>
      </c>
      <c r="C11" s="82" t="s">
        <v>120</v>
      </c>
      <c r="D11" s="96">
        <f>((1.5*2+1.2*2)*0.3+(0.6*2+1.2*2)*0.3+(1.35*2+1.5)*0.3)/4</f>
        <v>0.99</v>
      </c>
      <c r="E11" s="85"/>
      <c r="F11" s="86">
        <f>D11*E11</f>
        <v>0</v>
      </c>
      <c r="G11" s="93">
        <f>F11/I2</f>
        <v>0</v>
      </c>
      <c r="H11" s="100" t="s">
        <v>121</v>
      </c>
      <c r="I11" s="20"/>
    </row>
    <row r="12" spans="1:9" ht="31" x14ac:dyDescent="0.35">
      <c r="A12" s="82">
        <v>7</v>
      </c>
      <c r="B12" s="83" t="s">
        <v>113</v>
      </c>
      <c r="C12" s="82" t="s">
        <v>107</v>
      </c>
      <c r="D12" s="92">
        <f>(0.175*0.3*2.55)+(0.05*1.35*1.5)</f>
        <v>0.235125</v>
      </c>
      <c r="E12" s="85"/>
      <c r="F12" s="86">
        <f t="shared" si="0"/>
        <v>0</v>
      </c>
      <c r="G12" s="93">
        <f>F12/I2</f>
        <v>0</v>
      </c>
      <c r="H12" s="94"/>
      <c r="I12" s="20"/>
    </row>
    <row r="13" spans="1:9" ht="31" x14ac:dyDescent="0.35">
      <c r="A13" s="82">
        <v>8</v>
      </c>
      <c r="B13" s="95" t="s">
        <v>114</v>
      </c>
      <c r="C13" s="82" t="s">
        <v>107</v>
      </c>
      <c r="D13" s="92">
        <f>0.175*0.3*1.8</f>
        <v>9.4500000000000001E-2</v>
      </c>
      <c r="E13" s="85"/>
      <c r="F13" s="86">
        <f>D13*E13</f>
        <v>0</v>
      </c>
      <c r="G13" s="93">
        <f>F13/I2</f>
        <v>0</v>
      </c>
      <c r="H13" s="94"/>
      <c r="I13" s="20"/>
    </row>
    <row r="14" spans="1:9" ht="46.5" x14ac:dyDescent="0.35">
      <c r="A14" s="82">
        <v>9</v>
      </c>
      <c r="B14" s="83" t="s">
        <v>144</v>
      </c>
      <c r="C14" s="82" t="s">
        <v>115</v>
      </c>
      <c r="D14" s="96">
        <v>1</v>
      </c>
      <c r="E14" s="85"/>
      <c r="F14" s="86">
        <f t="shared" si="0"/>
        <v>0</v>
      </c>
      <c r="G14" s="93">
        <f>F14/I2</f>
        <v>0</v>
      </c>
      <c r="H14" s="94"/>
      <c r="I14" s="20"/>
    </row>
    <row r="15" spans="1:9" ht="36" customHeight="1" x14ac:dyDescent="0.35">
      <c r="A15" s="82">
        <v>10</v>
      </c>
      <c r="B15" s="97" t="s">
        <v>116</v>
      </c>
      <c r="C15" s="82" t="s">
        <v>117</v>
      </c>
      <c r="D15" s="96">
        <f>0.45*0.4*0.5</f>
        <v>9.0000000000000011E-2</v>
      </c>
      <c r="E15" s="85"/>
      <c r="F15" s="86">
        <f t="shared" si="0"/>
        <v>0</v>
      </c>
      <c r="G15" s="93">
        <f>F15/I2</f>
        <v>0</v>
      </c>
      <c r="H15" s="98"/>
      <c r="I15" s="20"/>
    </row>
    <row r="16" spans="1:9" ht="46.5" x14ac:dyDescent="0.35">
      <c r="A16" s="82">
        <v>11</v>
      </c>
      <c r="B16" s="101" t="s">
        <v>124</v>
      </c>
      <c r="C16" s="82" t="s">
        <v>123</v>
      </c>
      <c r="D16" s="84">
        <f>0.35*(2.1+1.2+0.6+1.35+1.5+2.55)+0.23*(1.5+2.55+1.5+0.45+0.3+0.3)+0.23*(1.2+0.9+1.2+0.15+1.2+1.2+1.2+0.3+0.15)+0.3*1</f>
        <v>6.7979999999999992</v>
      </c>
      <c r="E16" s="85"/>
      <c r="F16" s="86">
        <f>D16*E16</f>
        <v>0</v>
      </c>
      <c r="G16" s="93">
        <f>F16/I2</f>
        <v>0</v>
      </c>
      <c r="H16" s="98"/>
      <c r="I16" s="20"/>
    </row>
    <row r="17" spans="1:9" ht="15" x14ac:dyDescent="0.35">
      <c r="A17" s="79"/>
      <c r="B17" s="80" t="s">
        <v>125</v>
      </c>
      <c r="C17" s="79"/>
      <c r="D17" s="79"/>
      <c r="E17" s="90"/>
      <c r="F17" s="91">
        <f>SUM(F8:F16)</f>
        <v>0</v>
      </c>
      <c r="G17" s="102">
        <f>SUM(G8:G16)</f>
        <v>0</v>
      </c>
      <c r="H17" s="102"/>
      <c r="I17" s="20"/>
    </row>
    <row r="18" spans="1:9" ht="15.5" x14ac:dyDescent="0.35">
      <c r="A18" s="79" t="s">
        <v>126</v>
      </c>
      <c r="B18" s="80" t="s">
        <v>127</v>
      </c>
      <c r="C18" s="81"/>
      <c r="D18" s="81"/>
      <c r="E18" s="90"/>
      <c r="F18" s="81"/>
      <c r="G18" s="80"/>
      <c r="H18" s="80"/>
      <c r="I18" s="20"/>
    </row>
    <row r="19" spans="1:9" ht="46.5" x14ac:dyDescent="0.35">
      <c r="A19" s="82">
        <v>12</v>
      </c>
      <c r="B19" s="97" t="s">
        <v>128</v>
      </c>
      <c r="C19" s="82" t="s">
        <v>123</v>
      </c>
      <c r="D19" s="103">
        <f>1.74*(0.3+1.5+2.55+1.5+0.45+0.3)+2.15*1.2+2*1</f>
        <v>16.064</v>
      </c>
      <c r="E19" s="85"/>
      <c r="F19" s="86">
        <f t="shared" ref="F19:F26" si="1">D19*E19</f>
        <v>0</v>
      </c>
      <c r="G19" s="104">
        <f>F19/I2</f>
        <v>0</v>
      </c>
      <c r="H19" s="105" t="s">
        <v>129</v>
      </c>
      <c r="I19" s="20"/>
    </row>
    <row r="20" spans="1:9" ht="46.5" x14ac:dyDescent="0.35">
      <c r="A20" s="82">
        <v>13</v>
      </c>
      <c r="B20" s="97" t="s">
        <v>130</v>
      </c>
      <c r="C20" s="82" t="s">
        <v>123</v>
      </c>
      <c r="D20" s="103">
        <f>1.74*(0.3+1.5+2.55+1.5+0.45+0.3)+2.15*1.2*2+1.74*(0.15+1.2+0.9+1.2+1.2+0.3+0.15)+1*2*2</f>
        <v>29.518000000000001</v>
      </c>
      <c r="E20" s="85"/>
      <c r="F20" s="86">
        <f t="shared" si="1"/>
        <v>0</v>
      </c>
      <c r="G20" s="104">
        <f>F20/I2</f>
        <v>0</v>
      </c>
      <c r="H20" s="105" t="s">
        <v>129</v>
      </c>
      <c r="I20" s="20"/>
    </row>
    <row r="21" spans="1:9" ht="31" x14ac:dyDescent="0.35">
      <c r="A21" s="82">
        <v>14</v>
      </c>
      <c r="B21" s="123" t="s">
        <v>131</v>
      </c>
      <c r="C21" s="82" t="s">
        <v>123</v>
      </c>
      <c r="D21" s="107">
        <f>0.445*2.45+(0.41*1.3)*2+0.355*2.45</f>
        <v>3.0259999999999998</v>
      </c>
      <c r="E21" s="85"/>
      <c r="F21" s="86">
        <f t="shared" si="1"/>
        <v>0</v>
      </c>
      <c r="G21" s="108">
        <f>F21/I2</f>
        <v>0</v>
      </c>
      <c r="H21" s="109"/>
      <c r="I21" s="20"/>
    </row>
    <row r="22" spans="1:9" ht="93" x14ac:dyDescent="0.35">
      <c r="A22" s="82">
        <v>15</v>
      </c>
      <c r="B22" s="95" t="s">
        <v>132</v>
      </c>
      <c r="C22" s="82" t="s">
        <v>123</v>
      </c>
      <c r="D22" s="96">
        <f>3.2*1.8</f>
        <v>5.7600000000000007</v>
      </c>
      <c r="E22" s="85"/>
      <c r="F22" s="86">
        <f t="shared" si="1"/>
        <v>0</v>
      </c>
      <c r="G22" s="108">
        <f>F22/I2</f>
        <v>0</v>
      </c>
      <c r="H22" s="110"/>
      <c r="I22" s="20"/>
    </row>
    <row r="23" spans="1:9" ht="46.5" x14ac:dyDescent="0.35">
      <c r="A23" s="82">
        <v>16</v>
      </c>
      <c r="B23" s="123" t="s">
        <v>133</v>
      </c>
      <c r="C23" s="82" t="s">
        <v>18</v>
      </c>
      <c r="D23" s="103">
        <v>6</v>
      </c>
      <c r="E23" s="85"/>
      <c r="F23" s="86">
        <f t="shared" si="1"/>
        <v>0</v>
      </c>
      <c r="G23" s="108">
        <f>F23/I2</f>
        <v>0</v>
      </c>
      <c r="H23" s="110"/>
      <c r="I23" s="20"/>
    </row>
    <row r="24" spans="1:9" ht="62" x14ac:dyDescent="0.35">
      <c r="A24" s="82">
        <v>17</v>
      </c>
      <c r="B24" s="124" t="s">
        <v>134</v>
      </c>
      <c r="C24" s="82" t="s">
        <v>18</v>
      </c>
      <c r="D24" s="96">
        <v>1</v>
      </c>
      <c r="E24" s="85"/>
      <c r="F24" s="86">
        <f t="shared" si="1"/>
        <v>0</v>
      </c>
      <c r="G24" s="108">
        <f>F24/I2</f>
        <v>0</v>
      </c>
      <c r="H24" s="111" t="s">
        <v>135</v>
      </c>
      <c r="I24" s="20"/>
    </row>
    <row r="25" spans="1:9" ht="46.5" x14ac:dyDescent="0.35">
      <c r="A25" s="82">
        <v>18</v>
      </c>
      <c r="B25" s="106" t="s">
        <v>136</v>
      </c>
      <c r="C25" s="82" t="s">
        <v>0</v>
      </c>
      <c r="D25" s="96">
        <v>1</v>
      </c>
      <c r="E25" s="85"/>
      <c r="F25" s="86">
        <f>D25*E25</f>
        <v>0</v>
      </c>
      <c r="G25" s="108">
        <f>F25/I2</f>
        <v>0</v>
      </c>
      <c r="H25" s="112"/>
      <c r="I25" s="20"/>
    </row>
    <row r="26" spans="1:9" ht="46.5" x14ac:dyDescent="0.35">
      <c r="A26" s="82">
        <v>19</v>
      </c>
      <c r="B26" s="95" t="s">
        <v>137</v>
      </c>
      <c r="C26" s="82" t="s">
        <v>0</v>
      </c>
      <c r="D26" s="96">
        <v>2</v>
      </c>
      <c r="E26" s="85"/>
      <c r="F26" s="86">
        <f t="shared" si="1"/>
        <v>0</v>
      </c>
      <c r="G26" s="108">
        <f>F26/I2</f>
        <v>0</v>
      </c>
      <c r="H26" s="110"/>
      <c r="I26" s="20"/>
    </row>
    <row r="27" spans="1:9" ht="15" x14ac:dyDescent="0.35">
      <c r="A27" s="79"/>
      <c r="B27" s="80" t="s">
        <v>138</v>
      </c>
      <c r="C27" s="79"/>
      <c r="D27" s="79"/>
      <c r="E27" s="102"/>
      <c r="F27" s="91">
        <f>SUM(F19:F26)</f>
        <v>0</v>
      </c>
      <c r="G27" s="113">
        <f>SUM(G19:G26)</f>
        <v>0</v>
      </c>
      <c r="H27" s="113"/>
      <c r="I27" s="20"/>
    </row>
    <row r="28" spans="1:9" ht="15" x14ac:dyDescent="0.35">
      <c r="A28" s="79"/>
      <c r="B28" s="80" t="s">
        <v>139</v>
      </c>
      <c r="C28" s="79"/>
      <c r="D28" s="79"/>
      <c r="E28" s="102"/>
      <c r="F28" s="102"/>
      <c r="G28" s="113"/>
      <c r="H28" s="113"/>
      <c r="I28" s="20"/>
    </row>
    <row r="29" spans="1:9" ht="15" x14ac:dyDescent="0.35">
      <c r="A29" s="79">
        <v>1</v>
      </c>
      <c r="B29" s="80" t="s">
        <v>140</v>
      </c>
      <c r="C29" s="79"/>
      <c r="D29" s="79"/>
      <c r="E29" s="102"/>
      <c r="F29" s="102">
        <f>F6</f>
        <v>0</v>
      </c>
      <c r="G29" s="102">
        <f>G6</f>
        <v>0</v>
      </c>
      <c r="H29" s="102"/>
      <c r="I29" s="20"/>
    </row>
    <row r="30" spans="1:9" ht="15" x14ac:dyDescent="0.35">
      <c r="A30" s="79">
        <v>2</v>
      </c>
      <c r="B30" s="80" t="s">
        <v>141</v>
      </c>
      <c r="C30" s="79"/>
      <c r="D30" s="79"/>
      <c r="E30" s="102"/>
      <c r="F30" s="102">
        <f>F17</f>
        <v>0</v>
      </c>
      <c r="G30" s="102">
        <f>G17</f>
        <v>0</v>
      </c>
      <c r="H30" s="102"/>
      <c r="I30" s="20"/>
    </row>
    <row r="31" spans="1:9" ht="15" x14ac:dyDescent="0.35">
      <c r="A31" s="79">
        <v>3</v>
      </c>
      <c r="B31" s="80" t="s">
        <v>142</v>
      </c>
      <c r="C31" s="79"/>
      <c r="D31" s="79"/>
      <c r="E31" s="102"/>
      <c r="F31" s="102">
        <f>F27</f>
        <v>0</v>
      </c>
      <c r="G31" s="113">
        <f>G27</f>
        <v>0</v>
      </c>
      <c r="H31" s="113"/>
      <c r="I31" s="20"/>
    </row>
    <row r="32" spans="1:9" ht="46.5" x14ac:dyDescent="0.35">
      <c r="A32" s="79">
        <v>4</v>
      </c>
      <c r="B32" s="80" t="s">
        <v>77</v>
      </c>
      <c r="C32" s="79"/>
      <c r="D32" s="79"/>
      <c r="E32" s="102"/>
      <c r="F32" s="102">
        <f>SUM(F29:F31)*0.01</f>
        <v>0</v>
      </c>
      <c r="G32" s="114">
        <f>F32/I2</f>
        <v>0</v>
      </c>
      <c r="H32" s="89" t="s">
        <v>84</v>
      </c>
      <c r="I32" s="20"/>
    </row>
    <row r="33" spans="1:9" ht="15" x14ac:dyDescent="0.35">
      <c r="A33" s="79"/>
      <c r="B33" s="80"/>
      <c r="C33" s="79"/>
      <c r="D33" s="79"/>
      <c r="E33" s="102"/>
      <c r="F33" s="102"/>
      <c r="G33" s="113"/>
      <c r="H33" s="113"/>
      <c r="I33" s="20"/>
    </row>
    <row r="34" spans="1:9" ht="15" x14ac:dyDescent="0.35">
      <c r="A34" s="79"/>
      <c r="B34" s="80" t="s">
        <v>143</v>
      </c>
      <c r="C34" s="79" t="s">
        <v>0</v>
      </c>
      <c r="D34" s="79">
        <v>1</v>
      </c>
      <c r="E34" s="102"/>
      <c r="F34" s="91">
        <f>SUM(F29:F32)</f>
        <v>0</v>
      </c>
      <c r="G34" s="113">
        <f>SUM(G29:G32)</f>
        <v>0</v>
      </c>
      <c r="H34" s="113"/>
      <c r="I34" s="20"/>
    </row>
    <row r="35" spans="1:9" ht="15" x14ac:dyDescent="0.35">
      <c r="A35" s="115"/>
      <c r="B35" s="125" t="s">
        <v>187</v>
      </c>
      <c r="C35" s="115" t="s">
        <v>0</v>
      </c>
      <c r="D35" s="126">
        <v>44</v>
      </c>
      <c r="E35" s="116"/>
      <c r="F35" s="116">
        <f>F34*D35</f>
        <v>0</v>
      </c>
      <c r="G35" s="117">
        <f>G34*D35</f>
        <v>0</v>
      </c>
      <c r="H35" s="117"/>
      <c r="I35" s="14"/>
    </row>
    <row r="36" spans="1:9" x14ac:dyDescent="0.35">
      <c r="A36" s="118"/>
      <c r="B36" s="20"/>
      <c r="C36" s="118"/>
      <c r="D36" s="118"/>
      <c r="E36" s="119"/>
      <c r="F36" s="119"/>
      <c r="G36" s="120"/>
      <c r="H36" s="120"/>
      <c r="I36" s="20"/>
    </row>
    <row r="37" spans="1:9" x14ac:dyDescent="0.35">
      <c r="A37" s="118"/>
      <c r="B37" s="20"/>
      <c r="C37" s="118"/>
      <c r="D37" s="118"/>
      <c r="E37" s="119"/>
      <c r="F37" s="119"/>
      <c r="G37" s="120"/>
      <c r="H37" s="120"/>
      <c r="I37" s="20"/>
    </row>
    <row r="38" spans="1:9" x14ac:dyDescent="0.35">
      <c r="A38" s="118"/>
      <c r="B38" s="20"/>
      <c r="C38" s="118"/>
      <c r="D38" s="118"/>
      <c r="E38" s="119"/>
      <c r="F38" s="119"/>
      <c r="G38" s="120"/>
      <c r="H38" s="120"/>
      <c r="I38" s="20"/>
    </row>
  </sheetData>
  <mergeCells count="1">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8644D-3610-4C68-A14D-0C4B69199491}">
  <dimension ref="B2:I29"/>
  <sheetViews>
    <sheetView tabSelected="1" workbookViewId="0">
      <selection activeCell="F32" sqref="F32"/>
    </sheetView>
  </sheetViews>
  <sheetFormatPr defaultRowHeight="14.5" x14ac:dyDescent="0.35"/>
  <cols>
    <col min="2" max="2" width="3.81640625" customWidth="1"/>
    <col min="3" max="3" width="40.1796875" customWidth="1"/>
    <col min="4" max="4" width="14.08984375" customWidth="1"/>
    <col min="5" max="6" width="13.1796875" customWidth="1"/>
  </cols>
  <sheetData>
    <row r="2" spans="2:9" x14ac:dyDescent="0.35">
      <c r="E2" s="134">
        <v>414.89</v>
      </c>
      <c r="F2" s="134">
        <v>0.80500000000000005</v>
      </c>
    </row>
    <row r="3" spans="2:9" ht="23.5" hidden="1" customHeight="1" x14ac:dyDescent="0.35">
      <c r="B3" s="151"/>
      <c r="C3" s="151"/>
      <c r="D3" s="151"/>
      <c r="E3" s="151"/>
      <c r="F3" s="151"/>
    </row>
    <row r="4" spans="2:9" ht="16" hidden="1" x14ac:dyDescent="0.35">
      <c r="B4" s="129"/>
      <c r="C4" s="129"/>
      <c r="D4" s="129"/>
      <c r="E4" s="129"/>
      <c r="F4" s="129"/>
    </row>
    <row r="5" spans="2:9" hidden="1" x14ac:dyDescent="0.35">
      <c r="B5" s="22"/>
      <c r="C5" s="14"/>
      <c r="D5" s="131"/>
      <c r="E5" s="131"/>
      <c r="F5" s="133"/>
    </row>
    <row r="6" spans="2:9" hidden="1" x14ac:dyDescent="0.35">
      <c r="B6" s="22"/>
      <c r="C6" s="14"/>
      <c r="D6" s="131"/>
      <c r="E6" s="131"/>
      <c r="F6" s="133"/>
    </row>
    <row r="7" spans="2:9" hidden="1" x14ac:dyDescent="0.35">
      <c r="B7" s="22"/>
      <c r="C7" s="14"/>
      <c r="D7" s="132"/>
      <c r="E7" s="131"/>
      <c r="F7" s="133"/>
    </row>
    <row r="8" spans="2:9" hidden="1" x14ac:dyDescent="0.35">
      <c r="D8" s="135"/>
      <c r="E8" s="135"/>
      <c r="F8" s="135"/>
    </row>
    <row r="9" spans="2:9" hidden="1" x14ac:dyDescent="0.35">
      <c r="H9" s="136"/>
      <c r="I9" s="137"/>
    </row>
    <row r="10" spans="2:9" hidden="1" x14ac:dyDescent="0.35">
      <c r="B10" s="152"/>
      <c r="C10" s="152"/>
      <c r="D10" s="152"/>
      <c r="E10" s="152"/>
      <c r="F10" s="152"/>
    </row>
    <row r="11" spans="2:9" ht="16" hidden="1" x14ac:dyDescent="0.35">
      <c r="B11" s="129"/>
      <c r="C11" s="129"/>
      <c r="D11" s="129"/>
      <c r="E11" s="129"/>
      <c r="F11" s="129"/>
    </row>
    <row r="12" spans="2:9" hidden="1" x14ac:dyDescent="0.35">
      <c r="B12" s="130"/>
      <c r="C12" s="14"/>
      <c r="D12" s="133"/>
      <c r="E12" s="131"/>
      <c r="F12" s="133"/>
    </row>
    <row r="13" spans="2:9" hidden="1" x14ac:dyDescent="0.35">
      <c r="B13" s="130"/>
      <c r="C13" s="14"/>
      <c r="D13" s="133"/>
      <c r="E13" s="131"/>
      <c r="F13" s="133"/>
    </row>
    <row r="14" spans="2:9" hidden="1" x14ac:dyDescent="0.35">
      <c r="B14" s="130"/>
      <c r="C14" s="14"/>
      <c r="D14" s="133"/>
      <c r="E14" s="131"/>
      <c r="F14" s="133"/>
    </row>
    <row r="15" spans="2:9" hidden="1" x14ac:dyDescent="0.35">
      <c r="D15" s="135"/>
      <c r="E15" s="135"/>
      <c r="F15" s="135"/>
    </row>
    <row r="17" spans="2:6" x14ac:dyDescent="0.35">
      <c r="B17" s="153" t="s">
        <v>185</v>
      </c>
      <c r="C17" s="153"/>
      <c r="D17" s="153"/>
      <c r="E17" s="153"/>
      <c r="F17" s="153"/>
    </row>
    <row r="18" spans="2:6" ht="32" x14ac:dyDescent="0.35">
      <c r="B18" s="129" t="s">
        <v>180</v>
      </c>
      <c r="C18" s="129" t="s">
        <v>184</v>
      </c>
      <c r="D18" s="129" t="s">
        <v>7</v>
      </c>
      <c r="E18" s="129" t="s">
        <v>9</v>
      </c>
      <c r="F18" s="129" t="s">
        <v>186</v>
      </c>
    </row>
    <row r="19" spans="2:6" x14ac:dyDescent="0.35">
      <c r="B19" s="130">
        <v>1</v>
      </c>
      <c r="C19" s="14" t="s">
        <v>182</v>
      </c>
      <c r="D19" s="133">
        <f>'Plots (2)'!M32</f>
        <v>0</v>
      </c>
      <c r="E19" s="131">
        <f>D19/$E$2</f>
        <v>0</v>
      </c>
      <c r="F19" s="133">
        <f>E19*$F$2</f>
        <v>0</v>
      </c>
    </row>
    <row r="20" spans="2:6" x14ac:dyDescent="0.35">
      <c r="B20" s="130">
        <v>2</v>
      </c>
      <c r="C20" s="14" t="s">
        <v>181</v>
      </c>
      <c r="D20" s="133">
        <f>'Shelters (2)'!I58</f>
        <v>0</v>
      </c>
      <c r="E20" s="131">
        <f t="shared" ref="E20:E21" si="0">D20/$E$2</f>
        <v>0</v>
      </c>
      <c r="F20" s="133">
        <f t="shared" ref="F20:F21" si="1">E20*$F$2</f>
        <v>0</v>
      </c>
    </row>
    <row r="21" spans="2:6" x14ac:dyDescent="0.35">
      <c r="B21" s="130">
        <v>3</v>
      </c>
      <c r="C21" s="14" t="s">
        <v>183</v>
      </c>
      <c r="D21" s="133">
        <f>'Latrine (2)'!F35</f>
        <v>0</v>
      </c>
      <c r="E21" s="131">
        <f t="shared" si="0"/>
        <v>0</v>
      </c>
      <c r="F21" s="133">
        <f t="shared" si="1"/>
        <v>0</v>
      </c>
    </row>
    <row r="22" spans="2:6" x14ac:dyDescent="0.35">
      <c r="D22" s="135">
        <f>SUM(D19:D21)</f>
        <v>0</v>
      </c>
      <c r="E22" s="135">
        <f t="shared" ref="E22:F22" si="2">SUM(E19:E21)</f>
        <v>0</v>
      </c>
      <c r="F22" s="135">
        <f t="shared" si="2"/>
        <v>0</v>
      </c>
    </row>
    <row r="24" spans="2:6" x14ac:dyDescent="0.35">
      <c r="B24" s="154"/>
      <c r="C24" s="154"/>
      <c r="D24" s="154"/>
      <c r="E24" s="154"/>
      <c r="F24" s="154"/>
    </row>
    <row r="25" spans="2:6" ht="16" x14ac:dyDescent="0.35">
      <c r="B25" s="129"/>
      <c r="C25" s="129"/>
      <c r="D25" s="129"/>
      <c r="E25" s="129"/>
      <c r="F25" s="129"/>
    </row>
    <row r="26" spans="2:6" x14ac:dyDescent="0.35">
      <c r="B26" s="130"/>
      <c r="C26" s="14"/>
      <c r="D26" s="133"/>
      <c r="E26" s="131"/>
      <c r="F26" s="133"/>
    </row>
    <row r="27" spans="2:6" x14ac:dyDescent="0.35">
      <c r="B27" s="130"/>
      <c r="C27" s="14"/>
      <c r="D27" s="133"/>
      <c r="E27" s="131"/>
      <c r="F27" s="133"/>
    </row>
    <row r="28" spans="2:6" x14ac:dyDescent="0.35">
      <c r="B28" s="130"/>
      <c r="C28" s="14"/>
      <c r="D28" s="133"/>
      <c r="E28" s="131"/>
      <c r="F28" s="133"/>
    </row>
    <row r="29" spans="2:6" x14ac:dyDescent="0.35">
      <c r="D29" s="135"/>
      <c r="E29" s="135"/>
      <c r="F29" s="135"/>
    </row>
  </sheetData>
  <mergeCells count="4">
    <mergeCell ref="B3:F3"/>
    <mergeCell ref="B10:F10"/>
    <mergeCell ref="B17:F17"/>
    <mergeCell ref="B24:F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556E8-65A9-4309-BA76-26C8456CA330}">
  <dimension ref="A1:N57"/>
  <sheetViews>
    <sheetView topLeftCell="A22" zoomScaleNormal="100" workbookViewId="0">
      <selection activeCell="D31" sqref="D31"/>
    </sheetView>
  </sheetViews>
  <sheetFormatPr defaultRowHeight="14.5" x14ac:dyDescent="0.35"/>
  <cols>
    <col min="1" max="1" width="3.6328125" customWidth="1"/>
    <col min="2" max="2" width="72.08984375" customWidth="1"/>
    <col min="3" max="3" width="5.54296875" customWidth="1"/>
    <col min="4" max="6" width="9" customWidth="1"/>
    <col min="7" max="7" width="9.90625" customWidth="1"/>
    <col min="8" max="8" width="12.1796875" customWidth="1"/>
    <col min="9" max="9" width="9.90625" customWidth="1"/>
    <col min="10" max="10" width="11.54296875" customWidth="1"/>
    <col min="11" max="11" width="46.453125" customWidth="1"/>
  </cols>
  <sheetData>
    <row r="1" spans="1:14" ht="21" x14ac:dyDescent="0.35">
      <c r="A1" s="140" t="s">
        <v>30</v>
      </c>
      <c r="B1" s="140"/>
      <c r="C1" s="140"/>
      <c r="D1" s="140"/>
      <c r="E1" s="140"/>
      <c r="F1" s="140"/>
      <c r="G1" s="140"/>
      <c r="H1" s="140"/>
      <c r="I1" s="140"/>
      <c r="J1" s="140"/>
      <c r="K1" s="140"/>
    </row>
    <row r="2" spans="1:14" ht="12.5" customHeight="1" thickBot="1" x14ac:dyDescent="0.4">
      <c r="A2" s="1"/>
      <c r="B2" s="2"/>
      <c r="C2" s="2"/>
      <c r="D2" s="2"/>
      <c r="E2" s="2"/>
      <c r="F2" s="2"/>
      <c r="G2" s="2"/>
      <c r="H2" s="2"/>
      <c r="I2" s="2"/>
      <c r="J2" s="2"/>
      <c r="K2" s="27">
        <v>413.5</v>
      </c>
    </row>
    <row r="3" spans="1:14" ht="16" x14ac:dyDescent="0.35">
      <c r="A3" s="141" t="s">
        <v>0</v>
      </c>
      <c r="B3" s="143" t="s">
        <v>1</v>
      </c>
      <c r="C3" s="143" t="s">
        <v>2</v>
      </c>
      <c r="D3" s="145" t="s">
        <v>45</v>
      </c>
      <c r="E3" s="145" t="s">
        <v>46</v>
      </c>
      <c r="F3" s="145" t="s">
        <v>57</v>
      </c>
      <c r="G3" s="146" t="s">
        <v>3</v>
      </c>
      <c r="H3" s="147"/>
      <c r="I3" s="146" t="s">
        <v>4</v>
      </c>
      <c r="J3" s="147"/>
      <c r="K3" s="138" t="s">
        <v>5</v>
      </c>
    </row>
    <row r="4" spans="1:14" ht="32" x14ac:dyDescent="0.35">
      <c r="A4" s="142"/>
      <c r="B4" s="144"/>
      <c r="C4" s="144"/>
      <c r="D4" s="144"/>
      <c r="E4" s="144"/>
      <c r="F4" s="144"/>
      <c r="G4" s="3" t="s">
        <v>6</v>
      </c>
      <c r="H4" s="3" t="s">
        <v>7</v>
      </c>
      <c r="I4" s="3" t="s">
        <v>8</v>
      </c>
      <c r="J4" s="3" t="s">
        <v>9</v>
      </c>
      <c r="K4" s="139"/>
      <c r="N4" s="56"/>
    </row>
    <row r="5" spans="1:14" ht="18" customHeight="1" x14ac:dyDescent="0.35">
      <c r="A5" s="4" t="s">
        <v>41</v>
      </c>
      <c r="B5" s="33" t="s">
        <v>40</v>
      </c>
      <c r="C5" s="5"/>
      <c r="D5" s="5"/>
      <c r="E5" s="5"/>
      <c r="F5" s="5"/>
      <c r="G5" s="5"/>
      <c r="H5" s="5"/>
      <c r="I5" s="5"/>
      <c r="J5" s="5"/>
      <c r="K5" s="5"/>
    </row>
    <row r="6" spans="1:14" ht="67.5" customHeight="1" x14ac:dyDescent="0.35">
      <c r="A6" s="45">
        <v>1</v>
      </c>
      <c r="B6" s="41" t="s">
        <v>72</v>
      </c>
      <c r="C6" s="8" t="s">
        <v>17</v>
      </c>
      <c r="D6" s="30">
        <f>0.325*0.3*(22.5+9.15)+(0.2*0.1*0.6)*5</f>
        <v>3.1458750000000002</v>
      </c>
      <c r="E6" s="8"/>
      <c r="F6" s="8"/>
      <c r="G6" s="9">
        <v>700</v>
      </c>
      <c r="H6" s="10">
        <f>D6*G6</f>
        <v>2202.1125000000002</v>
      </c>
      <c r="I6" s="10">
        <f t="shared" ref="I6:I7" si="0">G6/$K$2</f>
        <v>1.6928657799274487</v>
      </c>
      <c r="J6" s="10">
        <f>D6*I6</f>
        <v>5.3255441354292632</v>
      </c>
      <c r="K6" s="7"/>
      <c r="L6" s="28"/>
    </row>
    <row r="7" spans="1:14" ht="53" customHeight="1" x14ac:dyDescent="0.35">
      <c r="A7" s="45">
        <v>2</v>
      </c>
      <c r="B7" s="41" t="s">
        <v>73</v>
      </c>
      <c r="C7" s="8" t="s">
        <v>17</v>
      </c>
      <c r="D7" s="30">
        <f>(9*2)*0.25+(1.2*6.15)*0.1+(22.5*0.15*0.25)</f>
        <v>6.0817499999999995</v>
      </c>
      <c r="E7" s="8"/>
      <c r="F7" s="8"/>
      <c r="G7" s="9">
        <v>800</v>
      </c>
      <c r="H7" s="10">
        <f>D7*G7</f>
        <v>4865.3999999999996</v>
      </c>
      <c r="I7" s="10">
        <f t="shared" si="0"/>
        <v>1.9347037484885128</v>
      </c>
      <c r="J7" s="10">
        <f>D7*I7</f>
        <v>11.766384522370013</v>
      </c>
      <c r="K7" s="7"/>
      <c r="L7" s="28"/>
    </row>
    <row r="8" spans="1:14" ht="16" x14ac:dyDescent="0.35">
      <c r="A8" s="55" t="s">
        <v>42</v>
      </c>
      <c r="B8" s="33" t="s">
        <v>43</v>
      </c>
      <c r="C8" s="8"/>
      <c r="D8" s="8"/>
      <c r="E8" s="8"/>
      <c r="F8" s="8"/>
      <c r="G8" s="30"/>
      <c r="H8" s="10"/>
      <c r="I8" s="10"/>
      <c r="J8" s="10"/>
      <c r="K8" s="7"/>
      <c r="L8" s="28"/>
    </row>
    <row r="9" spans="1:14" ht="74.5" customHeight="1" x14ac:dyDescent="0.35">
      <c r="A9" s="6"/>
      <c r="B9" s="7" t="s">
        <v>74</v>
      </c>
      <c r="C9" s="8" t="s">
        <v>17</v>
      </c>
      <c r="D9" s="8">
        <f>(0.075*0.3)*(22.5)+((0.2*0.1-0.15*0.05)*0.6)*5</f>
        <v>0.54374999999999996</v>
      </c>
      <c r="E9" s="62"/>
      <c r="F9" s="8"/>
      <c r="G9" s="9">
        <v>45000</v>
      </c>
      <c r="H9" s="10">
        <f t="shared" ref="H9:H14" si="1">D9*G9</f>
        <v>24468.749999999996</v>
      </c>
      <c r="I9" s="10">
        <f t="shared" ref="I9:I14" si="2">G9/$K$2</f>
        <v>108.82708585247885</v>
      </c>
      <c r="J9" s="10">
        <f t="shared" ref="J9:J14" si="3">D9*I9</f>
        <v>59.174727932285364</v>
      </c>
      <c r="K9" s="53"/>
      <c r="L9" s="28"/>
    </row>
    <row r="10" spans="1:14" ht="73" customHeight="1" x14ac:dyDescent="0.35">
      <c r="A10" s="45"/>
      <c r="B10" s="7" t="s">
        <v>58</v>
      </c>
      <c r="C10" s="40" t="s">
        <v>10</v>
      </c>
      <c r="D10" s="40">
        <f>22.5*0.5+9.15*0.25</f>
        <v>13.5375</v>
      </c>
      <c r="E10" s="40"/>
      <c r="F10" s="40"/>
      <c r="G10" s="9">
        <v>4500</v>
      </c>
      <c r="H10" s="39">
        <f t="shared" si="1"/>
        <v>60918.75</v>
      </c>
      <c r="I10" s="39">
        <f t="shared" si="2"/>
        <v>10.882708585247883</v>
      </c>
      <c r="J10" s="39">
        <f t="shared" si="3"/>
        <v>147.32466747279321</v>
      </c>
      <c r="K10" s="7"/>
      <c r="L10" s="28"/>
    </row>
    <row r="11" spans="1:14" ht="43" customHeight="1" x14ac:dyDescent="0.35">
      <c r="A11" s="45"/>
      <c r="B11" s="57" t="s">
        <v>61</v>
      </c>
      <c r="C11" s="40" t="s">
        <v>10</v>
      </c>
      <c r="D11" s="40">
        <f>(3.3*2+6.45)*0.25+(1.35*2+6.45)*0.1</f>
        <v>4.1775000000000002</v>
      </c>
      <c r="E11" s="40"/>
      <c r="F11" s="40"/>
      <c r="G11" s="9">
        <v>1500</v>
      </c>
      <c r="H11" s="39">
        <f t="shared" si="1"/>
        <v>6266.25</v>
      </c>
      <c r="I11" s="39">
        <f t="shared" si="2"/>
        <v>3.6275695284159615</v>
      </c>
      <c r="J11" s="39">
        <f t="shared" si="3"/>
        <v>15.15417170495768</v>
      </c>
      <c r="K11" s="7"/>
      <c r="L11" s="28"/>
    </row>
    <row r="12" spans="1:14" ht="47.5" customHeight="1" x14ac:dyDescent="0.35">
      <c r="A12" s="6"/>
      <c r="B12" s="7" t="s">
        <v>47</v>
      </c>
      <c r="C12" s="8" t="s">
        <v>10</v>
      </c>
      <c r="D12" s="8">
        <f>22.5*0.3</f>
        <v>6.75</v>
      </c>
      <c r="E12" s="8"/>
      <c r="F12" s="8"/>
      <c r="G12" s="9">
        <v>250</v>
      </c>
      <c r="H12" s="10">
        <f t="shared" si="1"/>
        <v>1687.5</v>
      </c>
      <c r="I12" s="10">
        <f t="shared" si="2"/>
        <v>0.60459492140266025</v>
      </c>
      <c r="J12" s="10">
        <f t="shared" si="3"/>
        <v>4.081015719467957</v>
      </c>
      <c r="K12" s="7"/>
    </row>
    <row r="13" spans="1:14" ht="41" customHeight="1" x14ac:dyDescent="0.35">
      <c r="A13" s="45"/>
      <c r="B13" s="7" t="s">
        <v>59</v>
      </c>
      <c r="C13" s="40" t="s">
        <v>17</v>
      </c>
      <c r="D13" s="40">
        <f>(3*3*2+6.45*1.35)*0.05</f>
        <v>1.3353750000000002</v>
      </c>
      <c r="E13" s="40"/>
      <c r="F13" s="40"/>
      <c r="G13" s="9">
        <v>32000</v>
      </c>
      <c r="H13" s="39">
        <f t="shared" si="1"/>
        <v>42732.000000000007</v>
      </c>
      <c r="I13" s="39">
        <f t="shared" si="2"/>
        <v>77.388149939540511</v>
      </c>
      <c r="J13" s="39">
        <f t="shared" si="3"/>
        <v>103.34220072551392</v>
      </c>
      <c r="K13" s="7"/>
      <c r="L13" s="28"/>
    </row>
    <row r="14" spans="1:14" ht="41" customHeight="1" x14ac:dyDescent="0.35">
      <c r="A14" s="45"/>
      <c r="B14" s="7" t="s">
        <v>60</v>
      </c>
      <c r="C14" s="40" t="s">
        <v>10</v>
      </c>
      <c r="D14" s="40">
        <f>(3*3*2+6.45*1.35)</f>
        <v>26.707500000000003</v>
      </c>
      <c r="E14" s="40"/>
      <c r="F14" s="40"/>
      <c r="G14" s="9">
        <v>800</v>
      </c>
      <c r="H14" s="39">
        <f t="shared" si="1"/>
        <v>21366.000000000004</v>
      </c>
      <c r="I14" s="39">
        <f t="shared" si="2"/>
        <v>1.9347037484885128</v>
      </c>
      <c r="J14" s="39">
        <f t="shared" si="3"/>
        <v>51.67110036275696</v>
      </c>
      <c r="K14" s="7"/>
      <c r="L14" s="28"/>
    </row>
    <row r="15" spans="1:14" ht="16" x14ac:dyDescent="0.35">
      <c r="A15" s="6"/>
      <c r="B15" s="46" t="s">
        <v>44</v>
      </c>
      <c r="C15" s="52"/>
      <c r="D15" s="52"/>
      <c r="E15" s="52"/>
      <c r="F15" s="52"/>
      <c r="G15" s="52"/>
      <c r="H15" s="51">
        <f>SUM(H6:H14)</f>
        <v>164506.76250000001</v>
      </c>
      <c r="I15" s="51"/>
      <c r="J15" s="51">
        <f>SUM(J6:J14)</f>
        <v>397.83981257557434</v>
      </c>
      <c r="K15" s="49"/>
    </row>
    <row r="16" spans="1:14" ht="16" x14ac:dyDescent="0.35">
      <c r="A16" s="6"/>
      <c r="B16" s="5"/>
      <c r="C16" s="5"/>
      <c r="D16" s="5"/>
      <c r="E16" s="5"/>
      <c r="F16" s="5"/>
      <c r="G16" s="12"/>
      <c r="H16" s="12"/>
      <c r="I16" s="12"/>
      <c r="J16" s="12"/>
      <c r="K16" s="13"/>
    </row>
    <row r="17" spans="1:12" ht="16" x14ac:dyDescent="0.35">
      <c r="A17" s="6"/>
      <c r="B17" s="33" t="s">
        <v>31</v>
      </c>
      <c r="C17" s="14"/>
      <c r="D17" s="14"/>
      <c r="E17" s="14"/>
      <c r="F17" s="14"/>
      <c r="G17" s="14"/>
      <c r="H17" s="14"/>
      <c r="I17" s="14"/>
      <c r="J17" s="14"/>
      <c r="K17" s="15"/>
    </row>
    <row r="18" spans="1:12" ht="68" customHeight="1" x14ac:dyDescent="0.35">
      <c r="A18" s="6"/>
      <c r="B18" s="57" t="s">
        <v>49</v>
      </c>
      <c r="C18" s="8" t="s">
        <v>10</v>
      </c>
      <c r="D18" s="8">
        <f>(22.5-1.6)*2.2+(3.3*0.55/2*3)-0.5</f>
        <v>48.202500000000001</v>
      </c>
      <c r="E18" s="8"/>
      <c r="F18" s="8"/>
      <c r="G18" s="9">
        <v>4500</v>
      </c>
      <c r="H18" s="10">
        <f>D18*G18</f>
        <v>216911.25</v>
      </c>
      <c r="I18" s="10">
        <f>G18/$K$2</f>
        <v>10.882708585247883</v>
      </c>
      <c r="J18" s="10">
        <f>D18*I18</f>
        <v>524.57376058041109</v>
      </c>
      <c r="K18" s="7" t="s">
        <v>48</v>
      </c>
    </row>
    <row r="19" spans="1:12" ht="65.5" customHeight="1" x14ac:dyDescent="0.35">
      <c r="A19" s="6"/>
      <c r="B19" s="57" t="s">
        <v>62</v>
      </c>
      <c r="C19" s="8" t="s">
        <v>10</v>
      </c>
      <c r="D19" s="8">
        <f>(19.5-1.6)*2.2+(3.3*0.55/2*2)-0.5+(0.3*12)*2</f>
        <v>47.894999999999996</v>
      </c>
      <c r="E19" s="8"/>
      <c r="F19" s="8"/>
      <c r="G19" s="9">
        <v>1500</v>
      </c>
      <c r="H19" s="10">
        <f>D19*G19</f>
        <v>71842.5</v>
      </c>
      <c r="I19" s="10">
        <f t="shared" ref="I19" si="4">G19/$K$2</f>
        <v>3.6275695284159615</v>
      </c>
      <c r="J19" s="10">
        <f>D19*I19</f>
        <v>173.74244256348246</v>
      </c>
      <c r="K19" s="16"/>
    </row>
    <row r="20" spans="1:12" ht="16" x14ac:dyDescent="0.35">
      <c r="A20" s="6"/>
      <c r="B20" s="46" t="s">
        <v>29</v>
      </c>
      <c r="C20" s="50"/>
      <c r="D20" s="50"/>
      <c r="E20" s="50"/>
      <c r="F20" s="50"/>
      <c r="G20" s="50"/>
      <c r="H20" s="51">
        <f>SUM(H18:H19)</f>
        <v>288753.75</v>
      </c>
      <c r="I20" s="50"/>
      <c r="J20" s="51">
        <f>SUM(J18:J19)</f>
        <v>698.31620314389352</v>
      </c>
      <c r="K20" s="50"/>
    </row>
    <row r="21" spans="1:12" ht="16" x14ac:dyDescent="0.35">
      <c r="A21" s="6"/>
      <c r="B21" s="14"/>
      <c r="C21" s="17"/>
      <c r="D21" s="17"/>
      <c r="E21" s="17"/>
      <c r="F21" s="17"/>
      <c r="G21" s="17"/>
      <c r="H21" s="17"/>
      <c r="I21" s="17"/>
      <c r="J21" s="17"/>
      <c r="K21" s="14"/>
    </row>
    <row r="22" spans="1:12" ht="16" x14ac:dyDescent="0.35">
      <c r="A22" s="6"/>
      <c r="B22" s="32" t="s">
        <v>69</v>
      </c>
      <c r="C22" s="17"/>
      <c r="D22" s="17"/>
      <c r="E22" s="17"/>
      <c r="F22" s="17"/>
      <c r="G22" s="17"/>
      <c r="H22" s="17"/>
      <c r="I22" s="17"/>
      <c r="J22" s="17"/>
      <c r="K22" s="14"/>
    </row>
    <row r="23" spans="1:12" ht="54" customHeight="1" x14ac:dyDescent="0.35">
      <c r="A23" s="36"/>
      <c r="B23" s="37" t="s">
        <v>63</v>
      </c>
      <c r="C23" s="38" t="s">
        <v>18</v>
      </c>
      <c r="D23" s="34">
        <v>9</v>
      </c>
      <c r="E23" s="34"/>
      <c r="F23" s="34"/>
      <c r="G23" s="18">
        <v>1500</v>
      </c>
      <c r="H23" s="10">
        <f t="shared" ref="H23:H31" si="5">D23*G23</f>
        <v>13500</v>
      </c>
      <c r="I23" s="10">
        <f>G23/$K$2</f>
        <v>3.6275695284159615</v>
      </c>
      <c r="J23" s="10">
        <f t="shared" ref="J23:J31" si="6">D23*I23</f>
        <v>32.648125755743656</v>
      </c>
      <c r="K23" s="7"/>
    </row>
    <row r="24" spans="1:12" ht="58" customHeight="1" x14ac:dyDescent="0.35">
      <c r="A24" s="36"/>
      <c r="B24" s="43" t="s">
        <v>64</v>
      </c>
      <c r="C24" s="38" t="s">
        <v>18</v>
      </c>
      <c r="D24" s="34">
        <v>5</v>
      </c>
      <c r="E24" s="34"/>
      <c r="F24" s="34"/>
      <c r="G24" s="18">
        <v>1500</v>
      </c>
      <c r="H24" s="10">
        <f t="shared" si="5"/>
        <v>7500</v>
      </c>
      <c r="I24" s="10">
        <f>G24/$K$2</f>
        <v>3.6275695284159615</v>
      </c>
      <c r="J24" s="10">
        <f t="shared" si="6"/>
        <v>18.137847642079809</v>
      </c>
      <c r="K24" s="57"/>
    </row>
    <row r="25" spans="1:12" ht="79" customHeight="1" x14ac:dyDescent="0.35">
      <c r="A25" s="36"/>
      <c r="B25" s="37" t="s">
        <v>65</v>
      </c>
      <c r="C25" s="38" t="s">
        <v>18</v>
      </c>
      <c r="D25" s="42">
        <f>2.5+5+7.5+2+2</f>
        <v>19</v>
      </c>
      <c r="E25" s="42"/>
      <c r="F25" s="42"/>
      <c r="G25" s="18">
        <v>1000</v>
      </c>
      <c r="H25" s="10">
        <f t="shared" si="5"/>
        <v>19000</v>
      </c>
      <c r="I25" s="10">
        <f t="shared" ref="I25:I27" si="7">G25/$K$2</f>
        <v>2.418379685610641</v>
      </c>
      <c r="J25" s="10">
        <f t="shared" si="6"/>
        <v>45.949214026602178</v>
      </c>
      <c r="K25" s="57"/>
    </row>
    <row r="26" spans="1:12" ht="64" customHeight="1" x14ac:dyDescent="0.35">
      <c r="A26" s="36"/>
      <c r="B26" s="37" t="s">
        <v>68</v>
      </c>
      <c r="C26" s="38" t="s">
        <v>18</v>
      </c>
      <c r="D26" s="35">
        <v>34</v>
      </c>
      <c r="E26" s="35"/>
      <c r="F26" s="35"/>
      <c r="G26" s="9">
        <v>800</v>
      </c>
      <c r="H26" s="10">
        <f t="shared" si="5"/>
        <v>27200</v>
      </c>
      <c r="I26" s="10">
        <f>G26/$K$2</f>
        <v>1.9347037484885128</v>
      </c>
      <c r="J26" s="10">
        <f t="shared" si="6"/>
        <v>65.779927448609442</v>
      </c>
      <c r="K26" s="57"/>
    </row>
    <row r="27" spans="1:12" ht="42" customHeight="1" x14ac:dyDescent="0.35">
      <c r="A27" s="36"/>
      <c r="B27" s="43" t="s">
        <v>66</v>
      </c>
      <c r="C27" s="44" t="s">
        <v>18</v>
      </c>
      <c r="D27" s="42">
        <v>10</v>
      </c>
      <c r="E27" s="42"/>
      <c r="F27" s="42"/>
      <c r="G27" s="18">
        <v>1500</v>
      </c>
      <c r="H27" s="39">
        <f t="shared" si="5"/>
        <v>15000</v>
      </c>
      <c r="I27" s="39">
        <f t="shared" si="7"/>
        <v>3.6275695284159615</v>
      </c>
      <c r="J27" s="39">
        <f t="shared" si="6"/>
        <v>36.275695284159617</v>
      </c>
      <c r="K27" s="41"/>
    </row>
    <row r="28" spans="1:12" ht="20" customHeight="1" x14ac:dyDescent="0.35">
      <c r="A28" s="36"/>
      <c r="B28" s="32" t="s">
        <v>70</v>
      </c>
      <c r="C28" s="44"/>
      <c r="D28" s="42"/>
      <c r="E28" s="42"/>
      <c r="F28" s="42"/>
      <c r="G28" s="18"/>
      <c r="H28" s="39"/>
      <c r="I28" s="39"/>
      <c r="J28" s="39"/>
      <c r="K28" s="41"/>
    </row>
    <row r="29" spans="1:12" ht="32.5" customHeight="1" x14ac:dyDescent="0.35">
      <c r="A29" s="36"/>
      <c r="B29" s="37" t="s">
        <v>67</v>
      </c>
      <c r="C29" s="38" t="s">
        <v>19</v>
      </c>
      <c r="D29" s="34">
        <v>8</v>
      </c>
      <c r="E29" s="34"/>
      <c r="F29" s="34"/>
      <c r="G29" s="18">
        <v>800</v>
      </c>
      <c r="H29" s="10">
        <f t="shared" si="5"/>
        <v>6400</v>
      </c>
      <c r="I29" s="10">
        <f>G29/$K$2</f>
        <v>1.9347037484885128</v>
      </c>
      <c r="J29" s="10">
        <f t="shared" si="6"/>
        <v>15.477629987908102</v>
      </c>
      <c r="K29" s="16"/>
    </row>
    <row r="30" spans="1:12" ht="69" customHeight="1" x14ac:dyDescent="0.35">
      <c r="A30" s="36"/>
      <c r="B30" s="54" t="s">
        <v>50</v>
      </c>
      <c r="C30" s="60" t="s">
        <v>10</v>
      </c>
      <c r="D30" s="61">
        <f>(0.8*2.2+0.7*0.4)*2</f>
        <v>4.08</v>
      </c>
      <c r="E30" s="42"/>
      <c r="F30" s="42"/>
      <c r="G30" s="18">
        <v>5500</v>
      </c>
      <c r="H30" s="10">
        <f t="shared" si="5"/>
        <v>22440</v>
      </c>
      <c r="I30" s="10">
        <f t="shared" ref="I30:I31" si="8">G30/$K$2</f>
        <v>13.301088270858525</v>
      </c>
      <c r="J30" s="10">
        <f t="shared" si="6"/>
        <v>54.26844014510278</v>
      </c>
      <c r="K30" s="16"/>
    </row>
    <row r="31" spans="1:12" ht="69" customHeight="1" x14ac:dyDescent="0.35">
      <c r="A31" s="36"/>
      <c r="B31" s="54" t="s">
        <v>51</v>
      </c>
      <c r="C31" s="60" t="s">
        <v>10</v>
      </c>
      <c r="D31" s="61">
        <f>7.1*(2.4+3.4)+(0.8*2.2+0.7*0.4)*2</f>
        <v>45.26</v>
      </c>
      <c r="E31" s="42"/>
      <c r="F31" s="42"/>
      <c r="G31" s="18">
        <v>5500</v>
      </c>
      <c r="H31" s="10">
        <f t="shared" si="5"/>
        <v>248930</v>
      </c>
      <c r="I31" s="10">
        <f t="shared" si="8"/>
        <v>13.301088270858525</v>
      </c>
      <c r="J31" s="10">
        <f t="shared" si="6"/>
        <v>602.00725513905684</v>
      </c>
      <c r="K31" s="16"/>
    </row>
    <row r="32" spans="1:12" ht="16" x14ac:dyDescent="0.35">
      <c r="A32" s="6"/>
      <c r="B32" s="46" t="s">
        <v>71</v>
      </c>
      <c r="C32" s="49"/>
      <c r="D32" s="49"/>
      <c r="E32" s="49"/>
      <c r="F32" s="49"/>
      <c r="G32" s="49"/>
      <c r="H32" s="48">
        <f>SUM(H23:H29)</f>
        <v>88600</v>
      </c>
      <c r="I32" s="49"/>
      <c r="J32" s="48">
        <f>SUM(J23:J29)</f>
        <v>214.2684401451028</v>
      </c>
      <c r="K32" s="47"/>
      <c r="L32" s="28"/>
    </row>
    <row r="33" spans="1:11" ht="16" x14ac:dyDescent="0.35">
      <c r="A33" s="6"/>
      <c r="B33" s="7"/>
      <c r="C33" s="10"/>
      <c r="D33" s="10"/>
      <c r="E33" s="10"/>
      <c r="F33" s="10"/>
      <c r="G33" s="10"/>
      <c r="H33" s="10"/>
      <c r="I33" s="10"/>
      <c r="J33" s="10"/>
      <c r="K33" s="14"/>
    </row>
    <row r="34" spans="1:11" ht="16" x14ac:dyDescent="0.35">
      <c r="A34" s="6"/>
      <c r="B34" s="32" t="s">
        <v>52</v>
      </c>
      <c r="C34" s="14"/>
      <c r="D34" s="14"/>
      <c r="E34" s="14"/>
      <c r="F34" s="14"/>
      <c r="G34" s="14"/>
      <c r="H34" s="14"/>
      <c r="I34" s="14"/>
      <c r="J34" s="14"/>
      <c r="K34" s="14"/>
    </row>
    <row r="35" spans="1:11" ht="16" x14ac:dyDescent="0.35">
      <c r="A35" s="6"/>
      <c r="B35" s="7" t="s">
        <v>32</v>
      </c>
      <c r="C35" s="10" t="s">
        <v>20</v>
      </c>
      <c r="D35" s="10">
        <v>3</v>
      </c>
      <c r="E35" s="10"/>
      <c r="F35" s="10"/>
      <c r="G35" s="18">
        <v>300</v>
      </c>
      <c r="H35" s="10">
        <f t="shared" ref="H35:H40" si="9">D35*G35</f>
        <v>900</v>
      </c>
      <c r="I35" s="10">
        <f t="shared" ref="I35:I40" si="10">G35/$K$2</f>
        <v>0.7255139056831923</v>
      </c>
      <c r="J35" s="10">
        <f t="shared" ref="J35:J40" si="11">D35*I35</f>
        <v>2.1765417170495769</v>
      </c>
      <c r="K35" s="16" t="s">
        <v>33</v>
      </c>
    </row>
    <row r="36" spans="1:11" ht="16" x14ac:dyDescent="0.35">
      <c r="A36" s="6"/>
      <c r="B36" s="7" t="s">
        <v>34</v>
      </c>
      <c r="C36" s="10" t="s">
        <v>20</v>
      </c>
      <c r="D36" s="10">
        <v>2</v>
      </c>
      <c r="E36" s="10"/>
      <c r="F36" s="10"/>
      <c r="G36" s="18">
        <v>200</v>
      </c>
      <c r="H36" s="10">
        <f t="shared" si="9"/>
        <v>400</v>
      </c>
      <c r="I36" s="10">
        <f t="shared" si="10"/>
        <v>0.4836759371221282</v>
      </c>
      <c r="J36" s="10">
        <f t="shared" si="11"/>
        <v>0.96735187424425639</v>
      </c>
      <c r="K36" s="16"/>
    </row>
    <row r="37" spans="1:11" ht="16" x14ac:dyDescent="0.35">
      <c r="A37" s="6"/>
      <c r="B37" s="7" t="s">
        <v>35</v>
      </c>
      <c r="C37" s="10" t="s">
        <v>20</v>
      </c>
      <c r="D37" s="10">
        <v>2</v>
      </c>
      <c r="E37" s="10"/>
      <c r="F37" s="10"/>
      <c r="G37" s="18">
        <v>200</v>
      </c>
      <c r="H37" s="10">
        <f t="shared" si="9"/>
        <v>400</v>
      </c>
      <c r="I37" s="10">
        <f t="shared" si="10"/>
        <v>0.4836759371221282</v>
      </c>
      <c r="J37" s="10">
        <f t="shared" si="11"/>
        <v>0.96735187424425639</v>
      </c>
      <c r="K37" s="16"/>
    </row>
    <row r="38" spans="1:11" ht="16" x14ac:dyDescent="0.35">
      <c r="A38" s="6"/>
      <c r="B38" s="7" t="s">
        <v>21</v>
      </c>
      <c r="C38" s="10" t="s">
        <v>20</v>
      </c>
      <c r="D38" s="10">
        <v>4</v>
      </c>
      <c r="E38" s="10"/>
      <c r="F38" s="10"/>
      <c r="G38" s="18">
        <v>200</v>
      </c>
      <c r="H38" s="10">
        <f t="shared" si="9"/>
        <v>800</v>
      </c>
      <c r="I38" s="10">
        <f t="shared" si="10"/>
        <v>0.4836759371221282</v>
      </c>
      <c r="J38" s="10">
        <f t="shared" si="11"/>
        <v>1.9347037484885128</v>
      </c>
      <c r="K38" s="16"/>
    </row>
    <row r="39" spans="1:11" ht="16" x14ac:dyDescent="0.35">
      <c r="A39" s="6"/>
      <c r="B39" s="7" t="s">
        <v>22</v>
      </c>
      <c r="C39" s="10" t="s">
        <v>20</v>
      </c>
      <c r="D39" s="10">
        <v>2</v>
      </c>
      <c r="E39" s="10"/>
      <c r="F39" s="10"/>
      <c r="G39" s="18">
        <v>200</v>
      </c>
      <c r="H39" s="10">
        <f t="shared" si="9"/>
        <v>400</v>
      </c>
      <c r="I39" s="10">
        <f t="shared" si="10"/>
        <v>0.4836759371221282</v>
      </c>
      <c r="J39" s="10">
        <f t="shared" si="11"/>
        <v>0.96735187424425639</v>
      </c>
      <c r="K39" s="16"/>
    </row>
    <row r="40" spans="1:11" ht="16" x14ac:dyDescent="0.35">
      <c r="A40" s="6"/>
      <c r="B40" s="57" t="s">
        <v>75</v>
      </c>
      <c r="C40" s="10" t="s">
        <v>18</v>
      </c>
      <c r="D40" s="10">
        <v>2</v>
      </c>
      <c r="E40" s="10"/>
      <c r="F40" s="10"/>
      <c r="G40" s="18">
        <v>750</v>
      </c>
      <c r="H40" s="10">
        <f t="shared" si="9"/>
        <v>1500</v>
      </c>
      <c r="I40" s="10">
        <f t="shared" si="10"/>
        <v>1.8137847642079807</v>
      </c>
      <c r="J40" s="10">
        <f t="shared" si="11"/>
        <v>3.6275695284159615</v>
      </c>
      <c r="K40" s="16"/>
    </row>
    <row r="41" spans="1:11" ht="16" x14ac:dyDescent="0.35">
      <c r="A41" s="6"/>
      <c r="B41" s="46" t="s">
        <v>53</v>
      </c>
      <c r="C41" s="49"/>
      <c r="D41" s="49"/>
      <c r="E41" s="49"/>
      <c r="F41" s="49"/>
      <c r="G41" s="49"/>
      <c r="H41" s="48">
        <f>SUM(H35:H40)</f>
        <v>4400</v>
      </c>
      <c r="I41" s="49"/>
      <c r="J41" s="48">
        <f>SUM(J35:J40)</f>
        <v>10.64087061668682</v>
      </c>
      <c r="K41" s="47"/>
    </row>
    <row r="42" spans="1:11" ht="16" x14ac:dyDescent="0.35">
      <c r="A42" s="6"/>
      <c r="B42" s="14"/>
      <c r="C42" s="14"/>
      <c r="D42" s="14"/>
      <c r="E42" s="14"/>
      <c r="F42" s="14"/>
      <c r="G42" s="14"/>
      <c r="H42" s="14"/>
      <c r="I42" s="14"/>
      <c r="J42" s="14"/>
      <c r="K42" s="14"/>
    </row>
    <row r="43" spans="1:11" ht="16" x14ac:dyDescent="0.35">
      <c r="A43" s="6"/>
      <c r="B43" s="32" t="s">
        <v>11</v>
      </c>
      <c r="C43" s="14"/>
      <c r="D43" s="14"/>
      <c r="E43" s="14"/>
      <c r="F43" s="14"/>
      <c r="G43" s="14"/>
      <c r="H43" s="14"/>
      <c r="I43" s="14"/>
      <c r="J43" s="14"/>
      <c r="K43" s="14"/>
    </row>
    <row r="44" spans="1:11" ht="30" customHeight="1" x14ac:dyDescent="0.35">
      <c r="A44" s="6">
        <v>27</v>
      </c>
      <c r="B44" s="7" t="s">
        <v>23</v>
      </c>
      <c r="C44" s="10" t="s">
        <v>24</v>
      </c>
      <c r="D44" s="59">
        <v>2</v>
      </c>
      <c r="E44" s="39"/>
      <c r="F44" s="39"/>
      <c r="G44" s="18">
        <v>400</v>
      </c>
      <c r="H44" s="10">
        <f t="shared" ref="H44:H48" si="12">D44*G44</f>
        <v>800</v>
      </c>
      <c r="I44" s="10">
        <f>G44/$K$2</f>
        <v>0.96735187424425639</v>
      </c>
      <c r="J44" s="10">
        <f t="shared" ref="J44:J48" si="13">D44*I44</f>
        <v>1.9347037484885128</v>
      </c>
      <c r="K44" s="7" t="s">
        <v>12</v>
      </c>
    </row>
    <row r="45" spans="1:11" ht="16" x14ac:dyDescent="0.35">
      <c r="A45" s="6">
        <v>28</v>
      </c>
      <c r="B45" s="7" t="s">
        <v>25</v>
      </c>
      <c r="C45" s="10" t="s">
        <v>24</v>
      </c>
      <c r="D45" s="39">
        <v>10</v>
      </c>
      <c r="E45" s="39"/>
      <c r="F45" s="39"/>
      <c r="G45" s="18">
        <v>400</v>
      </c>
      <c r="H45" s="10">
        <f t="shared" si="12"/>
        <v>4000</v>
      </c>
      <c r="I45" s="10">
        <f t="shared" ref="I45:I48" si="14">G45/$K$2</f>
        <v>0.96735187424425639</v>
      </c>
      <c r="J45" s="10">
        <f t="shared" si="13"/>
        <v>9.6735187424425639</v>
      </c>
      <c r="K45" s="7" t="s">
        <v>13</v>
      </c>
    </row>
    <row r="46" spans="1:11" ht="32" x14ac:dyDescent="0.35">
      <c r="A46" s="6">
        <v>29</v>
      </c>
      <c r="B46" s="7" t="s">
        <v>26</v>
      </c>
      <c r="C46" s="10" t="s">
        <v>24</v>
      </c>
      <c r="D46" s="39">
        <v>10</v>
      </c>
      <c r="E46" s="39"/>
      <c r="F46" s="39"/>
      <c r="G46" s="18">
        <v>450</v>
      </c>
      <c r="H46" s="10">
        <f t="shared" si="12"/>
        <v>4500</v>
      </c>
      <c r="I46" s="10">
        <f t="shared" si="14"/>
        <v>1.0882708585247884</v>
      </c>
      <c r="J46" s="10">
        <f t="shared" si="13"/>
        <v>10.882708585247885</v>
      </c>
      <c r="K46" s="7" t="s">
        <v>14</v>
      </c>
    </row>
    <row r="47" spans="1:11" ht="16" x14ac:dyDescent="0.35">
      <c r="A47" s="6">
        <v>30</v>
      </c>
      <c r="B47" s="7" t="s">
        <v>27</v>
      </c>
      <c r="C47" s="10" t="s">
        <v>24</v>
      </c>
      <c r="D47" s="39">
        <v>2</v>
      </c>
      <c r="E47" s="39"/>
      <c r="F47" s="39"/>
      <c r="G47" s="18">
        <v>600</v>
      </c>
      <c r="H47" s="10">
        <f t="shared" si="12"/>
        <v>1200</v>
      </c>
      <c r="I47" s="10">
        <f t="shared" si="14"/>
        <v>1.4510278113663846</v>
      </c>
      <c r="J47" s="10">
        <f t="shared" si="13"/>
        <v>2.9020556227327692</v>
      </c>
      <c r="K47" s="7" t="s">
        <v>15</v>
      </c>
    </row>
    <row r="48" spans="1:11" ht="48" x14ac:dyDescent="0.35">
      <c r="A48" s="6">
        <v>31</v>
      </c>
      <c r="B48" s="7" t="s">
        <v>36</v>
      </c>
      <c r="C48" s="10" t="s">
        <v>18</v>
      </c>
      <c r="D48" s="29">
        <v>56</v>
      </c>
      <c r="E48" s="29"/>
      <c r="F48" s="29"/>
      <c r="G48" s="18">
        <v>150</v>
      </c>
      <c r="H48" s="10">
        <f t="shared" si="12"/>
        <v>8400</v>
      </c>
      <c r="I48" s="10">
        <f t="shared" si="14"/>
        <v>0.36275695284159615</v>
      </c>
      <c r="J48" s="10">
        <f t="shared" si="13"/>
        <v>20.314389359129386</v>
      </c>
      <c r="K48" s="7" t="s">
        <v>56</v>
      </c>
    </row>
    <row r="49" spans="1:11" ht="16" x14ac:dyDescent="0.35">
      <c r="A49" s="6"/>
      <c r="B49" s="46" t="s">
        <v>16</v>
      </c>
      <c r="C49" s="47"/>
      <c r="D49" s="47"/>
      <c r="E49" s="47"/>
      <c r="F49" s="47"/>
      <c r="G49" s="47"/>
      <c r="H49" s="48">
        <f>SUM(H44:H48)</f>
        <v>18900</v>
      </c>
      <c r="I49" s="47"/>
      <c r="J49" s="48">
        <f>SUM(J44:J48)</f>
        <v>45.707376058041113</v>
      </c>
      <c r="K49" s="47"/>
    </row>
    <row r="50" spans="1:11" ht="16" x14ac:dyDescent="0.35">
      <c r="A50" s="6"/>
      <c r="B50" s="14"/>
      <c r="C50" s="14"/>
      <c r="D50" s="14"/>
      <c r="E50" s="14"/>
      <c r="F50" s="14"/>
      <c r="G50" s="14"/>
      <c r="H50" s="14"/>
      <c r="I50" s="14"/>
      <c r="J50" s="14"/>
      <c r="K50" s="14"/>
    </row>
    <row r="51" spans="1:11" ht="16" x14ac:dyDescent="0.35">
      <c r="A51" s="6"/>
      <c r="B51" s="32" t="s">
        <v>37</v>
      </c>
      <c r="C51" s="17"/>
      <c r="D51" s="21"/>
      <c r="E51" s="21"/>
      <c r="F51" s="21"/>
      <c r="G51" s="30"/>
      <c r="H51" s="26"/>
      <c r="I51" s="10"/>
      <c r="J51" s="26"/>
      <c r="K51" s="31"/>
    </row>
    <row r="52" spans="1:11" ht="32" x14ac:dyDescent="0.35">
      <c r="A52" s="6">
        <v>35</v>
      </c>
      <c r="B52" s="7" t="s">
        <v>55</v>
      </c>
      <c r="C52" s="10" t="s">
        <v>18</v>
      </c>
      <c r="D52" s="21">
        <v>1</v>
      </c>
      <c r="E52" s="21"/>
      <c r="F52" s="21"/>
      <c r="G52" s="18">
        <v>1500</v>
      </c>
      <c r="H52" s="10">
        <f>D52*G52</f>
        <v>1500</v>
      </c>
      <c r="I52" s="10">
        <f t="shared" ref="I52:I53" si="15">G52/$K$2</f>
        <v>3.6275695284159615</v>
      </c>
      <c r="J52" s="10">
        <f>D52*I52</f>
        <v>3.6275695284159615</v>
      </c>
      <c r="K52" s="31" t="s">
        <v>39</v>
      </c>
    </row>
    <row r="53" spans="1:11" ht="32" x14ac:dyDescent="0.35">
      <c r="A53" s="6">
        <v>36</v>
      </c>
      <c r="B53" s="7" t="s">
        <v>54</v>
      </c>
      <c r="C53" s="10" t="s">
        <v>18</v>
      </c>
      <c r="D53" s="21">
        <v>1</v>
      </c>
      <c r="E53" s="21"/>
      <c r="F53" s="21"/>
      <c r="G53" s="18">
        <v>1000</v>
      </c>
      <c r="H53" s="10">
        <f>D53*G53</f>
        <v>1000</v>
      </c>
      <c r="I53" s="10">
        <f t="shared" si="15"/>
        <v>2.418379685610641</v>
      </c>
      <c r="J53" s="10">
        <f>D53*I53</f>
        <v>2.418379685610641</v>
      </c>
      <c r="K53" s="14"/>
    </row>
    <row r="54" spans="1:11" ht="16" x14ac:dyDescent="0.35">
      <c r="A54" s="22"/>
      <c r="B54" s="11" t="s">
        <v>38</v>
      </c>
      <c r="C54" s="20"/>
      <c r="D54" s="20"/>
      <c r="E54" s="20"/>
      <c r="F54" s="20"/>
      <c r="G54" s="20"/>
      <c r="H54" s="19">
        <f>SUM(H52:H53)</f>
        <v>2500</v>
      </c>
      <c r="I54" s="20"/>
      <c r="J54" s="19">
        <f>SUM(J52:J53)</f>
        <v>6.0459492140266029</v>
      </c>
      <c r="K54" s="20"/>
    </row>
    <row r="55" spans="1:11" x14ac:dyDescent="0.35">
      <c r="A55" s="22"/>
      <c r="B55" s="14"/>
      <c r="C55" s="14"/>
      <c r="D55" s="14"/>
      <c r="E55" s="14"/>
      <c r="F55" s="14"/>
      <c r="G55" s="14"/>
      <c r="H55" s="14"/>
      <c r="I55" s="14"/>
      <c r="J55" s="14"/>
      <c r="K55" s="14"/>
    </row>
    <row r="56" spans="1:11" ht="16.5" x14ac:dyDescent="0.35">
      <c r="A56" s="22"/>
      <c r="B56" s="23" t="s">
        <v>28</v>
      </c>
      <c r="C56" s="24"/>
      <c r="D56" s="24"/>
      <c r="E56" s="24"/>
      <c r="F56" s="24"/>
      <c r="G56" s="24"/>
      <c r="H56" s="25">
        <f>H15+H20+H32+H41+H49+H54</f>
        <v>567660.51249999995</v>
      </c>
      <c r="I56" s="24"/>
      <c r="J56" s="25">
        <f>J15+J20+J32+J41+J49+J54</f>
        <v>1372.8186517533254</v>
      </c>
      <c r="K56" s="24"/>
    </row>
    <row r="57" spans="1:11" x14ac:dyDescent="0.35">
      <c r="A57" s="22"/>
      <c r="B57" s="14"/>
      <c r="C57" s="14"/>
      <c r="D57" s="14"/>
      <c r="E57" s="14"/>
      <c r="F57" s="14"/>
      <c r="G57" s="14"/>
      <c r="H57" s="14"/>
      <c r="I57" s="14"/>
      <c r="J57" s="14"/>
      <c r="K57" s="14"/>
    </row>
  </sheetData>
  <mergeCells count="10">
    <mergeCell ref="A1:K1"/>
    <mergeCell ref="A3:A4"/>
    <mergeCell ref="B3:B4"/>
    <mergeCell ref="C3:C4"/>
    <mergeCell ref="D3:D4"/>
    <mergeCell ref="E3:E4"/>
    <mergeCell ref="F3:F4"/>
    <mergeCell ref="G3:H3"/>
    <mergeCell ref="I3:J3"/>
    <mergeCell ref="K3:K4"/>
  </mergeCells>
  <pageMargins left="0.7" right="0.7" top="0.75" bottom="0.75" header="0.3" footer="0.3"/>
  <pageSetup orientation="landscape" r:id="rId1"/>
  <headerFooter>
    <oddHeader>&amp;F</oddHeader>
    <oddFooter>&amp;CPage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PR xmlns="1599240f-e81c-4db7-9982-a0faf0617dc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9853ECE604C7498D06D51B213B312B" ma:contentTypeVersion="2" ma:contentTypeDescription="Create a new document." ma:contentTypeScope="" ma:versionID="5d9f4704393f4301a2ce9b5f5b31b9bd">
  <xsd:schema xmlns:xsd="http://www.w3.org/2001/XMLSchema" xmlns:xs="http://www.w3.org/2001/XMLSchema" xmlns:p="http://schemas.microsoft.com/office/2006/metadata/properties" xmlns:ns2="1599240f-e81c-4db7-9982-a0faf0617dc7" xmlns:ns3="3332f65f-18b0-4c43-9cc5-afaf4c26ded8" targetNamespace="http://schemas.microsoft.com/office/2006/metadata/properties" ma:root="true" ma:fieldsID="43a5669285aca52c1c6c1b19ccacaf33" ns2:_="" ns3:_="">
    <xsd:import namespace="1599240f-e81c-4db7-9982-a0faf0617dc7"/>
    <xsd:import namespace="3332f65f-18b0-4c43-9cc5-afaf4c26ded8"/>
    <xsd:element name="properties">
      <xsd:complexType>
        <xsd:sequence>
          <xsd:element name="documentManagement">
            <xsd:complexType>
              <xsd:all>
                <xsd:element ref="ns2:SAP_PR"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99240f-e81c-4db7-9982-a0faf0617dc7" elementFormDefault="qualified">
    <xsd:import namespace="http://schemas.microsoft.com/office/2006/documentManagement/types"/>
    <xsd:import namespace="http://schemas.microsoft.com/office/infopath/2007/PartnerControls"/>
    <xsd:element name="SAP_PR" ma:index="8" nillable="true" ma:displayName="SAP_PR" ma:internalName="SAP_P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2f65f-18b0-4c43-9cc5-afaf4c26ded8"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28250D-CC6A-4D97-A4E7-1A6875BF03D1}">
  <ds:schemaRefs>
    <ds:schemaRef ds:uri="http://schemas.microsoft.com/office/2006/metadata/properties"/>
    <ds:schemaRef ds:uri="http://schemas.microsoft.com/office/infopath/2007/PartnerControls"/>
    <ds:schemaRef ds:uri="1599240f-e81c-4db7-9982-a0faf0617dc7"/>
  </ds:schemaRefs>
</ds:datastoreItem>
</file>

<file path=customXml/itemProps2.xml><?xml version="1.0" encoding="utf-8"?>
<ds:datastoreItem xmlns:ds="http://schemas.openxmlformats.org/officeDocument/2006/customXml" ds:itemID="{1A5C61DE-FFEB-463D-A593-F3505E90B7BA}">
  <ds:schemaRefs>
    <ds:schemaRef ds:uri="http://schemas.microsoft.com/sharepoint/v3/contenttype/forms"/>
  </ds:schemaRefs>
</ds:datastoreItem>
</file>

<file path=customXml/itemProps3.xml><?xml version="1.0" encoding="utf-8"?>
<ds:datastoreItem xmlns:ds="http://schemas.openxmlformats.org/officeDocument/2006/customXml" ds:itemID="{BCD4812A-AD0D-4D0B-8579-DF09BE8342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99240f-e81c-4db7-9982-a0faf0617dc7"/>
    <ds:schemaRef ds:uri="3332f65f-18b0-4c43-9cc5-afaf4c26de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Shelters (2)</vt:lpstr>
      <vt:lpstr>Plots (2)</vt:lpstr>
      <vt:lpstr>Latrine (2)</vt:lpstr>
      <vt:lpstr>Summary</vt:lpstr>
      <vt:lpstr>BOQ sandcrete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PICCIOLI</dc:creator>
  <cp:lastModifiedBy>DIBAL Ibrahim Madu</cp:lastModifiedBy>
  <cp:lastPrinted>2022-02-25T07:46:18Z</cp:lastPrinted>
  <dcterms:created xsi:type="dcterms:W3CDTF">2021-03-12T13:13:56Z</dcterms:created>
  <dcterms:modified xsi:type="dcterms:W3CDTF">2022-05-11T08:42:30Z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2021-03-12T13:13:57Z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d742179f-6059-4554-b8db-193cdac39b7d</vt:lpwstr>
  </property>
  <property fmtid="{D5CDD505-2E9C-101B-9397-08002B2CF9AE}" pid="8" name="MSIP_Label_2059aa38-f392-4105-be92-628035578272_ContentBits">
    <vt:lpwstr>0</vt:lpwstr>
  </property>
  <property fmtid="{D5CDD505-2E9C-101B-9397-08002B2CF9AE}" pid="9" name="ContentTypeId">
    <vt:lpwstr>0x010100B09853ECE604C7498D06D51B213B312B</vt:lpwstr>
  </property>
  <property fmtid="{D5CDD505-2E9C-101B-9397-08002B2CF9AE}" pid="10" name="charset">
    <vt:lpwstr/>
  </property>
  <property fmtid="{D5CDD505-2E9C-101B-9397-08002B2CF9AE}" pid="11" name="X-compTimeM">
    <vt:lpwstr>16:08:56</vt:lpwstr>
  </property>
  <property fmtid="{D5CDD505-2E9C-101B-9397-08002B2CF9AE}" pid="12" name="X-Content-Length">
    <vt:lpwstr>57201</vt:lpwstr>
  </property>
  <property fmtid="{D5CDD505-2E9C-101B-9397-08002B2CF9AE}" pid="13" name="X-compTimeC">
    <vt:lpwstr>16:08:56</vt:lpwstr>
  </property>
  <property fmtid="{D5CDD505-2E9C-101B-9397-08002B2CF9AE}" pid="14" name="Content-Type">
    <vt:lpwstr>application/vnd.openxmlformats-officedocument.spreadsheetml.sheet</vt:lpwstr>
  </property>
  <property fmtid="{D5CDD505-2E9C-101B-9397-08002B2CF9AE}" pid="15" name="X-compDateC">
    <vt:lpwstr>2022-05-05</vt:lpwstr>
  </property>
  <property fmtid="{D5CDD505-2E9C-101B-9397-08002B2CF9AE}" pid="16" name="X-docId">
    <vt:lpwstr>000D3A2884BE1EDCB391B4B563BBA10B</vt:lpwstr>
  </property>
  <property fmtid="{D5CDD505-2E9C-101B-9397-08002B2CF9AE}" pid="17" name="X-compId">
    <vt:lpwstr>data</vt:lpwstr>
  </property>
  <property fmtid="{D5CDD505-2E9C-101B-9397-08002B2CF9AE}" pid="18" name="X-contRep">
    <vt:lpwstr>PJ</vt:lpwstr>
  </property>
  <property fmtid="{D5CDD505-2E9C-101B-9397-08002B2CF9AE}" pid="19" name="_UIVersionString">
    <vt:lpwstr/>
  </property>
  <property fmtid="{D5CDD505-2E9C-101B-9397-08002B2CF9AE}" pid="20" name="Content-Length">
    <vt:lpwstr>57201</vt:lpwstr>
  </property>
  <property fmtid="{D5CDD505-2E9C-101B-9397-08002B2CF9AE}" pid="21" name="docProt">
    <vt:lpwstr>rcud</vt:lpwstr>
  </property>
  <property fmtid="{D5CDD505-2E9C-101B-9397-08002B2CF9AE}" pid="22" name="X-pVersion">
    <vt:lpwstr>0045</vt:lpwstr>
  </property>
  <property fmtid="{D5CDD505-2E9C-101B-9397-08002B2CF9AE}" pid="23" name="X-compDateM">
    <vt:lpwstr>2022-05-05</vt:lpwstr>
  </property>
</Properties>
</file>